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9440" windowHeight="8010" tabRatio="666" firstSheet="16" activeTab="21"/>
  </bookViews>
  <sheets>
    <sheet name="Apendice 1" sheetId="24" r:id="rId1"/>
    <sheet name="Apendice 2" sheetId="23" r:id="rId2"/>
    <sheet name="Apendice 3" sheetId="20" r:id="rId3"/>
    <sheet name="Apendice 4 (a)" sheetId="27" r:id="rId4"/>
    <sheet name="Apendice 4 (b)" sheetId="21" r:id="rId5"/>
    <sheet name="Arbolito 2" sheetId="12" state="hidden" r:id="rId6"/>
    <sheet name="Anexo 1 (2)" sheetId="11" state="hidden" r:id="rId7"/>
    <sheet name="Anexo 1" sheetId="1" state="hidden" r:id="rId8"/>
    <sheet name="Anexo 2" sheetId="2" state="hidden" r:id="rId9"/>
    <sheet name="Anexo 3" sheetId="3" state="hidden" r:id="rId10"/>
    <sheet name="Anexo 4" sheetId="4" state="hidden" r:id="rId11"/>
    <sheet name="Anexo 5" sheetId="5" state="hidden" r:id="rId12"/>
    <sheet name="Anexo 7" sheetId="6" state="hidden" r:id="rId13"/>
    <sheet name="Anexo 8" sheetId="8" state="hidden" r:id="rId14"/>
    <sheet name="Calculo Costos" sheetId="9" state="hidden" r:id="rId15"/>
    <sheet name="Arbolito 1" sheetId="10" state="hidden" r:id="rId16"/>
    <sheet name="Análisis" sheetId="16" r:id="rId17"/>
    <sheet name="Costo Importar" sheetId="18" r:id="rId18"/>
    <sheet name="Costos China" sheetId="19" r:id="rId19"/>
    <sheet name="Costos Brasil" sheetId="17" r:id="rId20"/>
    <sheet name="Criterios de evaluación" sheetId="14" r:id="rId21"/>
    <sheet name="Plan de acción" sheetId="15" r:id="rId22"/>
    <sheet name="Hoja1" sheetId="22" state="hidden" r:id="rId23"/>
  </sheets>
  <externalReferences>
    <externalReference r:id="rId24"/>
  </externalReferences>
  <definedNames>
    <definedName name="A" localSheetId="0">1</definedName>
    <definedName name="A" localSheetId="1">1</definedName>
    <definedName name="A" localSheetId="2">1</definedName>
    <definedName name="A" localSheetId="3">1</definedName>
    <definedName name="A" localSheetId="4">1</definedName>
    <definedName name="A" localSheetId="5">1</definedName>
    <definedName name="B" localSheetId="0">1</definedName>
    <definedName name="B" localSheetId="1">1</definedName>
    <definedName name="B" localSheetId="2">1</definedName>
    <definedName name="B" localSheetId="3">1</definedName>
    <definedName name="B" localSheetId="4">1</definedName>
    <definedName name="B" localSheetId="5">1</definedName>
    <definedName name="High">'[1]Risk Utility Scaled'!$V$7</definedName>
    <definedName name="Low">'[1]Risk Utility Scaled'!$V$6</definedName>
    <definedName name="MinimizeCosts" localSheetId="0">TRUE</definedName>
    <definedName name="MinimizeCosts" localSheetId="1">TRUE</definedName>
    <definedName name="MinimizeCosts" localSheetId="2">TRUE</definedName>
    <definedName name="MinimizeCosts" localSheetId="3">TRUE</definedName>
    <definedName name="MinimizeCosts" localSheetId="4">TRUE</definedName>
    <definedName name="MinimizeCosts" localSheetId="5">TRUE</definedName>
    <definedName name="Print_Area" localSheetId="0">'Apendice 1'!TreeDiagram</definedName>
    <definedName name="Print_Area" localSheetId="1">'Apendice 2'!TreeDiagram</definedName>
    <definedName name="Print_Area" localSheetId="2">'Apendice 3'!TreeDiagram</definedName>
    <definedName name="Print_Area" localSheetId="3">'Apendice 4 (a)'!TreeDiagram</definedName>
    <definedName name="Print_Area" localSheetId="4">'Apendice 4 (b)'!TreeDiagram</definedName>
    <definedName name="Print_Area" localSheetId="5">'Arbolito 2'!TreeDiagram</definedName>
    <definedName name="RT" localSheetId="0">999999999999</definedName>
    <definedName name="RT" localSheetId="1">999999999999</definedName>
    <definedName name="RT" localSheetId="2">999999999999</definedName>
    <definedName name="RT" localSheetId="3">999999999999</definedName>
    <definedName name="RT" localSheetId="4">999999999999</definedName>
    <definedName name="RT" localSheetId="5">999999999999</definedName>
    <definedName name="RT">999999999999</definedName>
    <definedName name="ScaledA" localSheetId="0">EXP(-[0]!Low/'Apendice 1'!RT)/(EXP(-[0]!Low/'Apendice 1'!RT)-EXP(-[0]!High/'Apendice 1'!RT))</definedName>
    <definedName name="ScaledA" localSheetId="1">EXP(-[0]!Low/'Apendice 2'!RT)/(EXP(-[0]!Low/'Apendice 2'!RT)-EXP(-[0]!High/'Apendice 2'!RT))</definedName>
    <definedName name="ScaledA" localSheetId="2">EXP(-[0]!Low/'Apendice 3'!RT)/(EXP(-[0]!Low/'Apendice 3'!RT)-EXP(-[0]!High/'Apendice 3'!RT))</definedName>
    <definedName name="ScaledA" localSheetId="3">EXP(-[0]!Low/'Apendice 4 (a)'!RT)/(EXP(-[0]!Low/'Apendice 4 (a)'!RT)-EXP(-[0]!High/'Apendice 4 (a)'!RT))</definedName>
    <definedName name="ScaledA" localSheetId="4">EXP(-[0]!Low/'Apendice 4 (b)'!RT)/(EXP(-[0]!Low/'Apendice 4 (b)'!RT)-EXP(-[0]!High/'Apendice 4 (b)'!RT))</definedName>
    <definedName name="ScaledA" localSheetId="5">EXP(-Low/'Arbolito 2'!RT)/(EXP(-Low/'Arbolito 2'!RT)-EXP(-High/'Arbolito 2'!RT))</definedName>
    <definedName name="ScaledB" localSheetId="0">1/(EXP(-[0]!Low/'Apendice 1'!RT)-EXP(-[0]!High/'Apendice 1'!RT))</definedName>
    <definedName name="ScaledB" localSheetId="1">1/(EXP(-[0]!Low/'Apendice 2'!RT)-EXP(-[0]!High/'Apendice 2'!RT))</definedName>
    <definedName name="ScaledB" localSheetId="2">1/(EXP(-[0]!Low/'Apendice 3'!RT)-EXP(-[0]!High/'Apendice 3'!RT))</definedName>
    <definedName name="ScaledB" localSheetId="3">1/(EXP(-[0]!Low/'Apendice 4 (a)'!RT)-EXP(-[0]!High/'Apendice 4 (a)'!RT))</definedName>
    <definedName name="ScaledB" localSheetId="4">1/(EXP(-[0]!Low/'Apendice 4 (b)'!RT)-EXP(-[0]!High/'Apendice 4 (b)'!RT))</definedName>
    <definedName name="ScaledB" localSheetId="5">1/(EXP(-Low/'Arbolito 2'!RT)-EXP(-High/'Arbolito 2'!RT))</definedName>
    <definedName name="TreeData" localSheetId="0">'Apendice 1'!$GH$1001:$GV$1033</definedName>
    <definedName name="TreeData" localSheetId="1">'Apendice 2'!$GH$1001:$GV$1033</definedName>
    <definedName name="TreeData" localSheetId="2">'Apendice 3'!$GP$1001:$HD$1033</definedName>
    <definedName name="TreeData" localSheetId="3">'Apendice 4 (a)'!$GP$1001:$HD$1033</definedName>
    <definedName name="TreeData" localSheetId="4">'Apendice 4 (b)'!$GK$981:$GY$1013</definedName>
    <definedName name="TreeData" localSheetId="5">'Arbolito 2'!$GH$1001:$GV$1033</definedName>
    <definedName name="TreeDiagBase" localSheetId="0">'Apendice 1'!$A$1</definedName>
    <definedName name="TreeDiagBase" localSheetId="1">'Apendice 2'!$A$1</definedName>
    <definedName name="TreeDiagBase" localSheetId="2">'Apendice 3'!$B$1</definedName>
    <definedName name="TreeDiagBase" localSheetId="3">'Apendice 4 (a)'!$B$1</definedName>
    <definedName name="TreeDiagBase" localSheetId="4">'Apendice 4 (b)'!#REF!</definedName>
    <definedName name="TreeDiagBase" localSheetId="5">'Arbolito 2'!$A$1</definedName>
    <definedName name="TreeDiagram" localSheetId="0">'Apendice 1'!$A$1:$W$84</definedName>
    <definedName name="TreeDiagram" localSheetId="1">'Apendice 2'!$A$1:$W$84</definedName>
    <definedName name="TreeDiagram" localSheetId="2">'Apendice 3'!$B$1:$AE$84</definedName>
    <definedName name="TreeDiagram" localSheetId="3">'Apendice 4 (a)'!$B$1:$AE$84</definedName>
    <definedName name="TreeDiagram" localSheetId="4">'Apendice 4 (b)'!$B$1:$Z$64</definedName>
    <definedName name="TreeDiagram" localSheetId="5">'Arbolito 2'!$A$1:$W$84</definedName>
    <definedName name="UseExpUtility" localSheetId="0">FALSE</definedName>
    <definedName name="UseExpUtility" localSheetId="1">FALSE</definedName>
    <definedName name="UseExpUtility" localSheetId="2">FALSE</definedName>
    <definedName name="UseExpUtility" localSheetId="3">FALSE</definedName>
    <definedName name="UseExpUtility" localSheetId="4">FALSE</definedName>
    <definedName name="UseExpUtility" localSheetId="5">FALSE</definedName>
  </definedNames>
  <calcPr calcId="145621" iterate="1"/>
</workbook>
</file>

<file path=xl/calcChain.xml><?xml version="1.0" encoding="utf-8"?>
<calcChain xmlns="http://schemas.openxmlformats.org/spreadsheetml/2006/main">
  <c r="F12" i="19" l="1"/>
  <c r="AB26" i="27" l="1"/>
  <c r="T26" i="24" l="1"/>
  <c r="T26" i="23"/>
  <c r="O30" i="22"/>
  <c r="O29" i="22"/>
  <c r="Q24" i="22"/>
  <c r="Q25" i="22" s="1"/>
  <c r="O24" i="22"/>
  <c r="O25" i="22"/>
  <c r="Q20" i="22"/>
  <c r="Q21" i="22" s="1"/>
  <c r="O16" i="22"/>
  <c r="O15" i="22"/>
  <c r="Q11" i="22"/>
  <c r="Q12" i="22" s="1"/>
  <c r="Q6" i="22"/>
  <c r="Q7" i="22" s="1"/>
  <c r="O6" i="22"/>
  <c r="Q2" i="22"/>
  <c r="Q3" i="22" s="1"/>
  <c r="J20" i="22"/>
  <c r="J21" i="22" s="1"/>
  <c r="J12" i="22"/>
  <c r="J11" i="22"/>
  <c r="J6" i="22"/>
  <c r="J7" i="22" s="1"/>
  <c r="H16" i="22"/>
  <c r="H15" i="22"/>
  <c r="H21" i="22" s="1"/>
  <c r="H6" i="22"/>
  <c r="A16" i="22"/>
  <c r="A15" i="22"/>
  <c r="H20" i="22" s="1"/>
  <c r="C12" i="22"/>
  <c r="C11" i="22"/>
  <c r="C7" i="22"/>
  <c r="C6" i="22"/>
  <c r="A6" i="22"/>
  <c r="C3" i="22"/>
  <c r="C2" i="22"/>
  <c r="J29" i="21"/>
  <c r="J13" i="21"/>
  <c r="J7" i="21"/>
  <c r="J2" i="21"/>
  <c r="AB26" i="20"/>
  <c r="J2" i="22" s="1"/>
  <c r="J3" i="22" s="1"/>
  <c r="AD15" i="19"/>
  <c r="T31" i="24" l="1"/>
  <c r="AB31" i="27"/>
  <c r="J18" i="21"/>
  <c r="T31" i="23"/>
  <c r="AB31" i="20"/>
  <c r="J24" i="21" s="1"/>
  <c r="H18" i="17"/>
  <c r="G18" i="17"/>
  <c r="I31" i="17"/>
  <c r="W74" i="27" l="1"/>
  <c r="P74" i="24"/>
  <c r="P74" i="23"/>
  <c r="Q60" i="27"/>
  <c r="L60" i="24"/>
  <c r="L60" i="23"/>
  <c r="W64" i="27"/>
  <c r="P64" i="24"/>
  <c r="P64" i="23"/>
  <c r="K33" i="21"/>
  <c r="C12" i="18"/>
  <c r="C11" i="18"/>
  <c r="T31" i="21" l="1"/>
  <c r="T26" i="21"/>
  <c r="T20" i="21"/>
  <c r="T15" i="21"/>
  <c r="T9" i="21"/>
  <c r="T4" i="21"/>
  <c r="F15" i="19" l="1"/>
  <c r="F14" i="19"/>
  <c r="F13" i="19"/>
  <c r="F37" i="17"/>
  <c r="P18" i="17"/>
  <c r="P20" i="17" s="1"/>
  <c r="Q20" i="17" s="1"/>
  <c r="E31" i="17"/>
  <c r="E32" i="17" s="1"/>
  <c r="C32" i="17"/>
  <c r="C31" i="17"/>
  <c r="C37" i="17" s="1"/>
  <c r="D16" i="19"/>
  <c r="F16" i="19" s="1"/>
  <c r="T19" i="17" l="1"/>
  <c r="U19" i="17" s="1"/>
  <c r="H31" i="17"/>
  <c r="Q71" i="27" s="1"/>
  <c r="P22" i="17"/>
  <c r="P21" i="17"/>
  <c r="T18" i="17"/>
  <c r="Q60" i="20"/>
  <c r="N18" i="17"/>
  <c r="O22" i="19"/>
  <c r="P22" i="19" s="1"/>
  <c r="O21" i="19"/>
  <c r="O16" i="19"/>
  <c r="P16" i="19" s="1"/>
  <c r="W24" i="27" s="1"/>
  <c r="O15" i="19"/>
  <c r="L20" i="19"/>
  <c r="L18" i="19"/>
  <c r="O18" i="19" s="1"/>
  <c r="B8" i="19"/>
  <c r="L14" i="19"/>
  <c r="L12" i="19"/>
  <c r="O13" i="19" s="1"/>
  <c r="M10" i="18"/>
  <c r="K11" i="18"/>
  <c r="B14" i="17" s="1"/>
  <c r="W49" i="20" l="1"/>
  <c r="W49" i="27"/>
  <c r="P49" i="24"/>
  <c r="P49" i="23"/>
  <c r="AB59" i="27"/>
  <c r="T59" i="24"/>
  <c r="T59" i="23"/>
  <c r="I18" i="17"/>
  <c r="AB59" i="20"/>
  <c r="L71" i="23"/>
  <c r="L71" i="24"/>
  <c r="W24" i="20"/>
  <c r="P24" i="24"/>
  <c r="P24" i="23"/>
  <c r="O19" i="19"/>
  <c r="P19" i="19" s="1"/>
  <c r="AB34" i="27" s="1"/>
  <c r="O12" i="19"/>
  <c r="Q12" i="19" s="1"/>
  <c r="AB4" i="27" s="1"/>
  <c r="Q15" i="19"/>
  <c r="W19" i="27" s="1"/>
  <c r="Q21" i="19"/>
  <c r="W44" i="20" s="1"/>
  <c r="V19" i="17"/>
  <c r="K12" i="18"/>
  <c r="M11" i="18"/>
  <c r="V18" i="17"/>
  <c r="V22" i="17"/>
  <c r="V21" i="17"/>
  <c r="Q18" i="19"/>
  <c r="AB29" i="27" s="1"/>
  <c r="Q16" i="19"/>
  <c r="Q22" i="19"/>
  <c r="Q19" i="19"/>
  <c r="F18" i="19"/>
  <c r="P13" i="19"/>
  <c r="AB9" i="27" s="1"/>
  <c r="C18" i="16"/>
  <c r="D18" i="16" s="1"/>
  <c r="Q35" i="27" l="1"/>
  <c r="Q10" i="27"/>
  <c r="AB54" i="27"/>
  <c r="T54" i="24"/>
  <c r="T54" i="23"/>
  <c r="W44" i="27"/>
  <c r="P44" i="24"/>
  <c r="P44" i="23"/>
  <c r="AB34" i="20"/>
  <c r="T34" i="24"/>
  <c r="T34" i="23"/>
  <c r="AB29" i="20"/>
  <c r="T29" i="24"/>
  <c r="T29" i="23"/>
  <c r="AB9" i="20"/>
  <c r="T9" i="24"/>
  <c r="T9" i="23"/>
  <c r="W19" i="20"/>
  <c r="P19" i="23"/>
  <c r="P19" i="24"/>
  <c r="J12" i="19"/>
  <c r="L35" i="23"/>
  <c r="L10" i="23"/>
  <c r="L35" i="24"/>
  <c r="L10" i="24"/>
  <c r="AB4" i="20"/>
  <c r="T4" i="24"/>
  <c r="T4" i="23"/>
  <c r="Q13" i="19"/>
  <c r="M12" i="18"/>
  <c r="J18" i="19"/>
  <c r="AB54" i="20"/>
  <c r="Q79" i="20" l="1"/>
  <c r="Q79" i="27"/>
  <c r="L79" i="23"/>
  <c r="L79" i="24"/>
  <c r="B11" i="17"/>
  <c r="C6" i="18"/>
  <c r="E18" i="16"/>
  <c r="F18" i="16" s="1"/>
  <c r="C17" i="16"/>
  <c r="D17" i="16" s="1"/>
  <c r="E17" i="16" s="1"/>
  <c r="F17" i="16" s="1"/>
  <c r="B19" i="16"/>
  <c r="B17" i="16"/>
  <c r="B18" i="16"/>
  <c r="B16" i="16"/>
  <c r="AF10" i="9"/>
  <c r="AF11" i="9"/>
  <c r="AO7" i="9"/>
  <c r="BA38" i="9"/>
  <c r="BB38" i="9" s="1"/>
  <c r="BA37" i="9"/>
  <c r="BA36" i="9"/>
  <c r="BB36" i="9" s="1"/>
  <c r="BA35" i="9"/>
  <c r="AU36" i="9"/>
  <c r="AV36" i="9" s="1"/>
  <c r="AU35" i="9"/>
  <c r="AU41" i="9" s="1"/>
  <c r="AV41" i="9" s="1"/>
  <c r="AR38" i="9"/>
  <c r="AR37" i="9"/>
  <c r="AR36" i="9"/>
  <c r="AR35" i="9"/>
  <c r="AR34" i="9"/>
  <c r="AU16" i="9"/>
  <c r="B20" i="16" l="1"/>
  <c r="C16" i="16" s="1"/>
  <c r="C20" i="16" s="1"/>
  <c r="D16" i="16" s="1"/>
  <c r="D20" i="16" s="1"/>
  <c r="I12" i="18"/>
  <c r="I10" i="18"/>
  <c r="I11" i="18"/>
  <c r="AO8" i="9"/>
  <c r="W74" i="20"/>
  <c r="Q22" i="17"/>
  <c r="N21" i="17"/>
  <c r="Q71" i="20"/>
  <c r="K81" i="20"/>
  <c r="BB35" i="9"/>
  <c r="AU42" i="9"/>
  <c r="AV42" i="9" s="1"/>
  <c r="BB37" i="9" s="1"/>
  <c r="AV35" i="9"/>
  <c r="AR39" i="9"/>
  <c r="AO6" i="9"/>
  <c r="AS4" i="9" s="1"/>
  <c r="G6" i="9"/>
  <c r="H6" i="9" s="1"/>
  <c r="V6" i="9"/>
  <c r="AJ5" i="9"/>
  <c r="AJ4" i="9"/>
  <c r="AJ3" i="9"/>
  <c r="V5" i="9"/>
  <c r="W5" i="9"/>
  <c r="X5" i="9" s="1"/>
  <c r="Y5" i="9" s="1"/>
  <c r="Z5" i="9" s="1"/>
  <c r="W4" i="9"/>
  <c r="X4" i="9" s="1"/>
  <c r="Y4" i="9" s="1"/>
  <c r="Z4" i="9" s="1"/>
  <c r="V4" i="9"/>
  <c r="V3" i="9"/>
  <c r="P63" i="11"/>
  <c r="E27" i="27" l="1"/>
  <c r="D27" i="24"/>
  <c r="D27" i="23"/>
  <c r="J10" i="18"/>
  <c r="L10" i="18" s="1"/>
  <c r="K65" i="27"/>
  <c r="H65" i="23"/>
  <c r="H65" i="24"/>
  <c r="J11" i="18"/>
  <c r="L11" i="18" s="1"/>
  <c r="K81" i="27"/>
  <c r="AE78" i="27" s="1"/>
  <c r="T79" i="27" s="1"/>
  <c r="H81" i="24"/>
  <c r="W78" i="24" s="1"/>
  <c r="M79" i="24" s="1"/>
  <c r="H81" i="23"/>
  <c r="W78" i="23" s="1"/>
  <c r="M79" i="23" s="1"/>
  <c r="J12" i="18"/>
  <c r="L12" i="18" s="1"/>
  <c r="B40" i="17" s="1"/>
  <c r="C43" i="17"/>
  <c r="AE78" i="20"/>
  <c r="W64" i="20"/>
  <c r="V20" i="17"/>
  <c r="E27" i="20"/>
  <c r="AE23" i="20" s="1"/>
  <c r="B12" i="22" s="1"/>
  <c r="E16" i="16"/>
  <c r="K65" i="20"/>
  <c r="Q35" i="20"/>
  <c r="Q10" i="20"/>
  <c r="AK3" i="9"/>
  <c r="AO18" i="9"/>
  <c r="AT16" i="9" s="1"/>
  <c r="AK4" i="9"/>
  <c r="AK5" i="9"/>
  <c r="AT4" i="9"/>
  <c r="V7" i="9"/>
  <c r="I65" i="11"/>
  <c r="J65" i="11" s="1"/>
  <c r="I63" i="11"/>
  <c r="J63" i="11" s="1"/>
  <c r="I59" i="11"/>
  <c r="N61" i="11" s="1"/>
  <c r="W83" i="10"/>
  <c r="M84" i="10" s="1"/>
  <c r="W78" i="10"/>
  <c r="M79" i="10" s="1"/>
  <c r="W73" i="10"/>
  <c r="Q74" i="10" s="1"/>
  <c r="W68" i="10"/>
  <c r="Q69" i="10" s="1"/>
  <c r="W63" i="10"/>
  <c r="Q64" i="10" s="1"/>
  <c r="W58" i="10"/>
  <c r="U59" i="10" s="1"/>
  <c r="W53" i="10"/>
  <c r="U54" i="10" s="1"/>
  <c r="W48" i="10"/>
  <c r="Q49" i="10" s="1"/>
  <c r="W43" i="10"/>
  <c r="Q44" i="10" s="1"/>
  <c r="W38" i="10"/>
  <c r="Q39" i="10" s="1"/>
  <c r="W33" i="10"/>
  <c r="U34" i="10" s="1"/>
  <c r="W28" i="10"/>
  <c r="U29" i="10" s="1"/>
  <c r="Q31" i="10" s="1"/>
  <c r="M35" i="10" s="1"/>
  <c r="W23" i="10"/>
  <c r="Q24" i="10" s="1"/>
  <c r="Q19" i="10"/>
  <c r="W18" i="10"/>
  <c r="W13" i="10"/>
  <c r="Q14" i="10" s="1"/>
  <c r="W8" i="10"/>
  <c r="U9" i="10" s="1"/>
  <c r="W3" i="10"/>
  <c r="U4" i="10" s="1"/>
  <c r="W83" i="12"/>
  <c r="M84" i="12" s="1"/>
  <c r="W78" i="12"/>
  <c r="M79" i="12" s="1"/>
  <c r="W73" i="12"/>
  <c r="Q74" i="12" s="1"/>
  <c r="W68" i="12"/>
  <c r="Q69" i="12" s="1"/>
  <c r="W63" i="12"/>
  <c r="Q64" i="12" s="1"/>
  <c r="W58" i="12"/>
  <c r="U59" i="12" s="1"/>
  <c r="W53" i="12"/>
  <c r="U54" i="12" s="1"/>
  <c r="W48" i="12"/>
  <c r="Q49" i="12" s="1"/>
  <c r="W43" i="12"/>
  <c r="Q44" i="12" s="1"/>
  <c r="W38" i="12"/>
  <c r="Q39" i="12" s="1"/>
  <c r="W33" i="12"/>
  <c r="U34" i="12" s="1"/>
  <c r="W28" i="12"/>
  <c r="U29" i="12" s="1"/>
  <c r="W23" i="12"/>
  <c r="Q24" i="12" s="1"/>
  <c r="W18" i="12"/>
  <c r="Q19" i="12" s="1"/>
  <c r="W13" i="12"/>
  <c r="Q14" i="12" s="1"/>
  <c r="W8" i="12"/>
  <c r="U9" i="12" s="1"/>
  <c r="W3" i="12"/>
  <c r="U4" i="12" s="1"/>
  <c r="O38" i="9"/>
  <c r="P38" i="9"/>
  <c r="M46" i="10" l="1"/>
  <c r="BC36" i="9"/>
  <c r="BC38" i="9"/>
  <c r="AE38" i="20"/>
  <c r="I7" i="22" s="1"/>
  <c r="AE63" i="27"/>
  <c r="Y64" i="27" s="1"/>
  <c r="W63" i="24"/>
  <c r="Q64" i="24" s="1"/>
  <c r="W63" i="23"/>
  <c r="Q64" i="23" s="1"/>
  <c r="W53" i="23"/>
  <c r="U54" i="23" s="1"/>
  <c r="W58" i="23"/>
  <c r="U59" i="23" s="1"/>
  <c r="W68" i="23"/>
  <c r="Q69" i="23" s="1"/>
  <c r="W73" i="23"/>
  <c r="Q74" i="23" s="1"/>
  <c r="BC37" i="9"/>
  <c r="W48" i="23"/>
  <c r="Q49" i="23" s="1"/>
  <c r="W43" i="23"/>
  <c r="Q44" i="23" s="1"/>
  <c r="W23" i="23"/>
  <c r="Q24" i="23" s="1"/>
  <c r="W18" i="23"/>
  <c r="Q19" i="23" s="1"/>
  <c r="W8" i="23"/>
  <c r="U9" i="23" s="1"/>
  <c r="W13" i="23"/>
  <c r="Q14" i="23" s="1"/>
  <c r="W33" i="23"/>
  <c r="U34" i="23" s="1"/>
  <c r="W38" i="23"/>
  <c r="Q39" i="23" s="1"/>
  <c r="W3" i="23"/>
  <c r="U4" i="23" s="1"/>
  <c r="Q6" i="23" s="1"/>
  <c r="M10" i="23" s="1"/>
  <c r="W28" i="23"/>
  <c r="U29" i="23" s="1"/>
  <c r="Q31" i="23" s="1"/>
  <c r="M35" i="23" s="1"/>
  <c r="AE28" i="27"/>
  <c r="AC29" i="27" s="1"/>
  <c r="AE13" i="27"/>
  <c r="Y14" i="27" s="1"/>
  <c r="AE3" i="27"/>
  <c r="AC4" i="27" s="1"/>
  <c r="AE18" i="27"/>
  <c r="Y19" i="27" s="1"/>
  <c r="AE43" i="27"/>
  <c r="Y44" i="27" s="1"/>
  <c r="T46" i="27" s="1"/>
  <c r="AE38" i="27"/>
  <c r="Y39" i="27" s="1"/>
  <c r="AE23" i="27"/>
  <c r="Y24" i="27" s="1"/>
  <c r="AE48" i="27"/>
  <c r="Y49" i="27" s="1"/>
  <c r="AE33" i="27"/>
  <c r="AC34" i="27" s="1"/>
  <c r="Y31" i="27" s="1"/>
  <c r="T35" i="27" s="1"/>
  <c r="N40" i="27" s="1"/>
  <c r="O39" i="27" s="1"/>
  <c r="AE8" i="27"/>
  <c r="AC9" i="27" s="1"/>
  <c r="I40" i="10"/>
  <c r="J39" i="10" s="1"/>
  <c r="W53" i="24"/>
  <c r="U54" i="24" s="1"/>
  <c r="W58" i="24"/>
  <c r="U59" i="24" s="1"/>
  <c r="W73" i="24"/>
  <c r="Q74" i="24" s="1"/>
  <c r="W68" i="24"/>
  <c r="Q69" i="24" s="1"/>
  <c r="M71" i="24" s="1"/>
  <c r="AE68" i="27"/>
  <c r="Y69" i="27" s="1"/>
  <c r="AE53" i="27"/>
  <c r="AC54" i="27" s="1"/>
  <c r="AE73" i="27"/>
  <c r="Y74" i="27" s="1"/>
  <c r="AE58" i="27"/>
  <c r="AC59" i="27" s="1"/>
  <c r="W48" i="24"/>
  <c r="Q49" i="24" s="1"/>
  <c r="W43" i="24"/>
  <c r="Q44" i="24" s="1"/>
  <c r="M46" i="24" s="1"/>
  <c r="W23" i="24"/>
  <c r="Q24" i="24" s="1"/>
  <c r="W18" i="24"/>
  <c r="Q19" i="24" s="1"/>
  <c r="M21" i="24" s="1"/>
  <c r="W33" i="24"/>
  <c r="U34" i="24" s="1"/>
  <c r="W38" i="24"/>
  <c r="Q39" i="24" s="1"/>
  <c r="W3" i="24"/>
  <c r="U4" i="24" s="1"/>
  <c r="W8" i="24"/>
  <c r="U9" i="24" s="1"/>
  <c r="W28" i="24"/>
  <c r="U29" i="24" s="1"/>
  <c r="Q31" i="24" s="1"/>
  <c r="W13" i="24"/>
  <c r="Q14" i="24" s="1"/>
  <c r="BC35" i="9"/>
  <c r="AE58" i="20"/>
  <c r="P3" i="22" s="1"/>
  <c r="AE63" i="20"/>
  <c r="P7" i="22" s="1"/>
  <c r="T79" i="20"/>
  <c r="P20" i="22"/>
  <c r="AE73" i="20"/>
  <c r="P12" i="22" s="1"/>
  <c r="AE3" i="20"/>
  <c r="B2" i="22" s="1"/>
  <c r="AE8" i="20"/>
  <c r="B3" i="22" s="1"/>
  <c r="S31" i="21"/>
  <c r="AE13" i="20"/>
  <c r="Y24" i="20"/>
  <c r="AE48" i="20"/>
  <c r="AE53" i="20"/>
  <c r="AE68" i="20"/>
  <c r="AE18" i="20"/>
  <c r="AE43" i="20"/>
  <c r="Y39" i="20"/>
  <c r="AE33" i="20"/>
  <c r="AE28" i="20"/>
  <c r="I2" i="22" s="1"/>
  <c r="E20" i="16"/>
  <c r="D43" i="17"/>
  <c r="AW35" i="9"/>
  <c r="AW36" i="9"/>
  <c r="N65" i="11"/>
  <c r="Q56" i="10"/>
  <c r="M60" i="10" s="1"/>
  <c r="N62" i="11"/>
  <c r="J59" i="11"/>
  <c r="N63" i="11"/>
  <c r="AO9" i="9"/>
  <c r="AU4" i="9" s="1"/>
  <c r="N59" i="11"/>
  <c r="N60" i="11"/>
  <c r="M71" i="10"/>
  <c r="I65" i="10" s="1"/>
  <c r="Q6" i="10"/>
  <c r="M10" i="10" s="1"/>
  <c r="M21" i="10"/>
  <c r="I81" i="10"/>
  <c r="M21" i="12"/>
  <c r="Q6" i="12"/>
  <c r="M10" i="12" s="1"/>
  <c r="Q56" i="12"/>
  <c r="M60" i="12" s="1"/>
  <c r="I65" i="12" s="1"/>
  <c r="M71" i="12"/>
  <c r="Q31" i="12"/>
  <c r="M35" i="12" s="1"/>
  <c r="M46" i="12"/>
  <c r="I81" i="12"/>
  <c r="L28" i="9"/>
  <c r="R36" i="9"/>
  <c r="G10" i="9"/>
  <c r="H10" i="9" s="1"/>
  <c r="B1" i="9"/>
  <c r="G4" i="9"/>
  <c r="H4" i="9" s="1"/>
  <c r="F2" i="9"/>
  <c r="G2" i="9" s="1"/>
  <c r="H2" i="9" s="1"/>
  <c r="E20" i="6"/>
  <c r="I15" i="10" l="1"/>
  <c r="M35" i="24"/>
  <c r="I40" i="24" s="1"/>
  <c r="J39" i="24" s="1"/>
  <c r="Q6" i="24"/>
  <c r="M10" i="24" s="1"/>
  <c r="I15" i="24" s="1"/>
  <c r="T71" i="27"/>
  <c r="Q56" i="24"/>
  <c r="M60" i="24" s="1"/>
  <c r="T21" i="27"/>
  <c r="M21" i="23"/>
  <c r="M46" i="23"/>
  <c r="I40" i="23" s="1"/>
  <c r="J39" i="23" s="1"/>
  <c r="M71" i="23"/>
  <c r="Q56" i="23"/>
  <c r="M60" i="23" s="1"/>
  <c r="F16" i="16"/>
  <c r="G20" i="16"/>
  <c r="Y56" i="27"/>
  <c r="I65" i="24"/>
  <c r="J64" i="24" s="1"/>
  <c r="Y6" i="27"/>
  <c r="T10" i="27" s="1"/>
  <c r="N15" i="27" s="1"/>
  <c r="I15" i="23"/>
  <c r="T60" i="27"/>
  <c r="N65" i="27" s="1"/>
  <c r="O64" i="27" s="1"/>
  <c r="Y64" i="20"/>
  <c r="AC59" i="20"/>
  <c r="Y74" i="20"/>
  <c r="I3" i="22"/>
  <c r="K2" i="22" s="1"/>
  <c r="I6" i="22" s="1"/>
  <c r="K6" i="22" s="1"/>
  <c r="I15" i="22" s="1"/>
  <c r="K15" i="22" s="1"/>
  <c r="I21" i="22" s="1"/>
  <c r="S26" i="21"/>
  <c r="Y49" i="20"/>
  <c r="I12" i="22"/>
  <c r="Y44" i="20"/>
  <c r="T46" i="20" s="1"/>
  <c r="I11" i="22"/>
  <c r="AC54" i="20"/>
  <c r="Y56" i="20" s="1"/>
  <c r="P2" i="22"/>
  <c r="R2" i="22" s="1"/>
  <c r="P6" i="22" s="1"/>
  <c r="R6" i="22" s="1"/>
  <c r="P15" i="22" s="1"/>
  <c r="S9" i="21"/>
  <c r="D2" i="22"/>
  <c r="S15" i="21"/>
  <c r="B7" i="22"/>
  <c r="Y19" i="20"/>
  <c r="B11" i="22"/>
  <c r="D11" i="22" s="1"/>
  <c r="B16" i="22" s="1"/>
  <c r="Y69" i="20"/>
  <c r="P11" i="22"/>
  <c r="R11" i="22" s="1"/>
  <c r="P16" i="22" s="1"/>
  <c r="R15" i="22" s="1"/>
  <c r="P24" i="22" s="1"/>
  <c r="Y14" i="20"/>
  <c r="AC34" i="20"/>
  <c r="AC29" i="20"/>
  <c r="S20" i="21"/>
  <c r="AC4" i="20"/>
  <c r="S4" i="21"/>
  <c r="AC9" i="20"/>
  <c r="T21" i="20"/>
  <c r="F20" i="16"/>
  <c r="F43" i="17" s="1"/>
  <c r="E43" i="17"/>
  <c r="G43" i="17" s="1"/>
  <c r="K2" i="9"/>
  <c r="J2" i="9"/>
  <c r="N28" i="9"/>
  <c r="O59" i="11" s="1"/>
  <c r="S36" i="9"/>
  <c r="Q63" i="11"/>
  <c r="R34" i="9"/>
  <c r="E27" i="10"/>
  <c r="J14" i="10"/>
  <c r="J64" i="10"/>
  <c r="E73" i="10"/>
  <c r="I15" i="12"/>
  <c r="J14" i="12" s="1"/>
  <c r="I40" i="12"/>
  <c r="J39" i="12" s="1"/>
  <c r="J64" i="12"/>
  <c r="E73" i="12"/>
  <c r="H12" i="9"/>
  <c r="G12" i="9"/>
  <c r="D2" i="11"/>
  <c r="C6" i="11" s="1"/>
  <c r="D6" i="11" s="1"/>
  <c r="E6" i="11" s="1"/>
  <c r="O14" i="27" l="1"/>
  <c r="H27" i="27"/>
  <c r="I65" i="23"/>
  <c r="J64" i="23" s="1"/>
  <c r="J14" i="23"/>
  <c r="E27" i="23"/>
  <c r="J14" i="24"/>
  <c r="E27" i="24"/>
  <c r="T71" i="20"/>
  <c r="T60" i="20"/>
  <c r="K11" i="22"/>
  <c r="I16" i="22" s="1"/>
  <c r="I43" i="17"/>
  <c r="Y31" i="20"/>
  <c r="T35" i="20" s="1"/>
  <c r="N40" i="20" s="1"/>
  <c r="O39" i="20" s="1"/>
  <c r="Y6" i="20"/>
  <c r="A50" i="10"/>
  <c r="B49" i="10" s="1"/>
  <c r="S34" i="9"/>
  <c r="E27" i="12"/>
  <c r="A50" i="12" s="1"/>
  <c r="B49" i="12" s="1"/>
  <c r="I3" i="6"/>
  <c r="K4" i="11"/>
  <c r="J2" i="11"/>
  <c r="K2" i="11" s="1"/>
  <c r="C94" i="11"/>
  <c r="B87" i="11"/>
  <c r="B86" i="11"/>
  <c r="B82" i="11"/>
  <c r="E51" i="11"/>
  <c r="E43" i="11"/>
  <c r="E40" i="11"/>
  <c r="E34" i="11"/>
  <c r="E31" i="11"/>
  <c r="E29" i="11"/>
  <c r="C3" i="11"/>
  <c r="K10" i="11" s="1"/>
  <c r="B83" i="1"/>
  <c r="B82" i="1"/>
  <c r="C90" i="1"/>
  <c r="B78" i="1"/>
  <c r="E49" i="1"/>
  <c r="D62" i="1"/>
  <c r="D60" i="1"/>
  <c r="D58" i="1"/>
  <c r="E41" i="1"/>
  <c r="E38" i="1"/>
  <c r="E32" i="1"/>
  <c r="E29" i="1"/>
  <c r="E27" i="1"/>
  <c r="E33" i="1" l="1"/>
  <c r="N65" i="20"/>
  <c r="O64" i="20" s="1"/>
  <c r="Q84" i="20"/>
  <c r="AE83" i="20" s="1"/>
  <c r="P21" i="22" s="1"/>
  <c r="R20" i="22" s="1"/>
  <c r="P25" i="22" s="1"/>
  <c r="R24" i="22" s="1"/>
  <c r="P30" i="22" s="1"/>
  <c r="Q84" i="27"/>
  <c r="AE83" i="27" s="1"/>
  <c r="T84" i="27" s="1"/>
  <c r="N81" i="27" s="1"/>
  <c r="H73" i="27" s="1"/>
  <c r="B27" i="27" s="1"/>
  <c r="L84" i="23"/>
  <c r="W83" i="23" s="1"/>
  <c r="M84" i="23" s="1"/>
  <c r="I81" i="23" s="1"/>
  <c r="E73" i="23" s="1"/>
  <c r="A50" i="23" s="1"/>
  <c r="B49" i="23" s="1"/>
  <c r="L84" i="24"/>
  <c r="W83" i="24" s="1"/>
  <c r="M84" i="24" s="1"/>
  <c r="I81" i="24" s="1"/>
  <c r="E73" i="24" s="1"/>
  <c r="B49" i="24" s="1"/>
  <c r="T10" i="20"/>
  <c r="N15" i="20" s="1"/>
  <c r="O14" i="20" s="1"/>
  <c r="B6" i="22"/>
  <c r="D6" i="22" s="1"/>
  <c r="B15" i="22" s="1"/>
  <c r="D15" i="22" s="1"/>
  <c r="I20" i="22" s="1"/>
  <c r="K20" i="22" s="1"/>
  <c r="P29" i="22" s="1"/>
  <c r="R29" i="22" s="1"/>
  <c r="T84" i="20"/>
  <c r="W3" i="9"/>
  <c r="K6" i="11"/>
  <c r="K12" i="11" s="1"/>
  <c r="C4" i="11"/>
  <c r="D3" i="11"/>
  <c r="B89" i="11"/>
  <c r="E35" i="11"/>
  <c r="B85" i="1"/>
  <c r="D4" i="1"/>
  <c r="E4" i="1" s="1"/>
  <c r="F4" i="1" s="1"/>
  <c r="C5" i="1"/>
  <c r="C6" i="1" s="1"/>
  <c r="D6" i="1" s="1"/>
  <c r="D8" i="1" s="1"/>
  <c r="A2" i="1"/>
  <c r="C49" i="27" l="1"/>
  <c r="F19" i="21"/>
  <c r="H27" i="20"/>
  <c r="N81" i="20"/>
  <c r="H73" i="20" s="1"/>
  <c r="W7" i="9"/>
  <c r="F4" i="11"/>
  <c r="D4" i="11"/>
  <c r="E2" i="11"/>
  <c r="E3" i="11"/>
  <c r="D5" i="1"/>
  <c r="B22" i="14" l="1"/>
  <c r="B50" i="20"/>
  <c r="C49" i="20" s="1"/>
  <c r="C22" i="14"/>
  <c r="X3" i="9"/>
  <c r="X7" i="9" s="1"/>
  <c r="AO24" i="9"/>
  <c r="F3" i="11"/>
  <c r="F2" i="11"/>
  <c r="Y3" i="9" l="1"/>
  <c r="Y7" i="9" s="1"/>
  <c r="AP24" i="9"/>
  <c r="AR24" i="9" l="1"/>
  <c r="AR26" i="9" s="1"/>
  <c r="AQ24" i="9"/>
  <c r="Z3" i="9"/>
  <c r="Z7" i="9" s="1"/>
  <c r="W9" i="9" s="1"/>
</calcChain>
</file>

<file path=xl/sharedStrings.xml><?xml version="1.0" encoding="utf-8"?>
<sst xmlns="http://schemas.openxmlformats.org/spreadsheetml/2006/main" count="1376" uniqueCount="387">
  <si>
    <t>Produción anual</t>
  </si>
  <si>
    <t>Pisco</t>
  </si>
  <si>
    <t>Arequipa</t>
  </si>
  <si>
    <t>Total</t>
  </si>
  <si>
    <t>Inventario</t>
  </si>
  <si>
    <t>Origen</t>
  </si>
  <si>
    <t>Producto</t>
  </si>
  <si>
    <t>Puerto</t>
  </si>
  <si>
    <t>Fecha de entrega</t>
  </si>
  <si>
    <t>Probabilidad</t>
  </si>
  <si>
    <t>Brasil</t>
  </si>
  <si>
    <t>PT</t>
  </si>
  <si>
    <t>100 TM</t>
  </si>
  <si>
    <t>Iquitos</t>
  </si>
  <si>
    <t>15 de Septiembre</t>
  </si>
  <si>
    <t>30 de Septiembre</t>
  </si>
  <si>
    <t>1,000  TM</t>
  </si>
  <si>
    <t>Callao</t>
  </si>
  <si>
    <t>China</t>
  </si>
  <si>
    <t>Palanquilla</t>
  </si>
  <si>
    <t>15 de Agosto</t>
  </si>
  <si>
    <t>2.3  meses</t>
  </si>
  <si>
    <t>Cantidad
TM</t>
  </si>
  <si>
    <t>24 de Sep</t>
  </si>
  <si>
    <t>Capacidad</t>
  </si>
  <si>
    <t>Fecha Inicio de Operaciones</t>
  </si>
  <si>
    <t>Inversión</t>
  </si>
  <si>
    <t>Localización 
CD</t>
  </si>
  <si>
    <t>Loreto</t>
  </si>
  <si>
    <t>Requena</t>
  </si>
  <si>
    <t>1ra semana Noviembre</t>
  </si>
  <si>
    <t>Fines de Noviembre</t>
  </si>
  <si>
    <t>Costos Fijos</t>
  </si>
  <si>
    <t>Costos Operativos</t>
  </si>
  <si>
    <t>Terreno:</t>
  </si>
  <si>
    <t>Infraestructura almacén:</t>
  </si>
  <si>
    <t>Contenedores para Oficinas:</t>
  </si>
  <si>
    <t>TOTAL:</t>
  </si>
  <si>
    <t>Grúas (5):</t>
  </si>
  <si>
    <t>Grúas (3):</t>
  </si>
  <si>
    <t>Capacidad
TM</t>
  </si>
  <si>
    <t>Ahorros Logísticos/ mes*</t>
  </si>
  <si>
    <r>
      <rPr>
        <b/>
        <sz val="11"/>
        <color theme="1"/>
        <rFont val="Arial"/>
        <family val="2"/>
      </rPr>
      <t xml:space="preserve">Contratar Proveedores </t>
    </r>
    <r>
      <rPr>
        <sz val="11"/>
        <color theme="1"/>
        <rFont val="Arial"/>
        <family val="2"/>
      </rPr>
      <t xml:space="preserve">
(Iquitos, San Martín y Pucallpa)</t>
    </r>
  </si>
  <si>
    <r>
      <rPr>
        <b/>
        <sz val="11"/>
        <color theme="1"/>
        <rFont val="Arial"/>
        <family val="2"/>
      </rPr>
      <t xml:space="preserve">Tercerizar distribución </t>
    </r>
    <r>
      <rPr>
        <sz val="11"/>
        <color theme="1"/>
        <rFont val="Arial"/>
        <family val="2"/>
      </rPr>
      <t xml:space="preserve">
(Iquitos, San Martin y Pucallpa)</t>
    </r>
  </si>
  <si>
    <r>
      <t xml:space="preserve">Costo
</t>
    </r>
    <r>
      <rPr>
        <sz val="9"/>
        <color theme="1"/>
        <rFont val="Arial"/>
        <family val="2"/>
      </rPr>
      <t>(Soles/mes)</t>
    </r>
  </si>
  <si>
    <t>NS &gt; 95%</t>
  </si>
  <si>
    <t>NS &lt; 95%</t>
  </si>
  <si>
    <t>Probabilidad de Nivel de Servicio</t>
  </si>
  <si>
    <t>Energía</t>
  </si>
  <si>
    <t>MO</t>
  </si>
  <si>
    <t>Estiba (Soles/TM)</t>
  </si>
  <si>
    <t>Mantenimiento</t>
  </si>
  <si>
    <t>500 TM /día</t>
  </si>
  <si>
    <t>Producto terminado</t>
  </si>
  <si>
    <t>Puerto de recepción</t>
  </si>
  <si>
    <t>Fecha de llegada</t>
  </si>
  <si>
    <t>1 de Octubre</t>
  </si>
  <si>
    <t>15 de Octubre</t>
  </si>
  <si>
    <t>5 de Noviembre</t>
  </si>
  <si>
    <t>20 de Noviembre</t>
  </si>
  <si>
    <t>25 de Septiembre</t>
  </si>
  <si>
    <r>
      <t xml:space="preserve">Costo estiba
</t>
    </r>
    <r>
      <rPr>
        <b/>
        <sz val="10"/>
        <color theme="1"/>
        <rFont val="Arial"/>
        <family val="2"/>
      </rPr>
      <t>(Soles/TM)</t>
    </r>
  </si>
  <si>
    <r>
      <t xml:space="preserve">Costos operativos
</t>
    </r>
    <r>
      <rPr>
        <b/>
        <sz val="10"/>
        <color theme="1"/>
        <rFont val="Arial"/>
        <family val="2"/>
      </rPr>
      <t>(Soles/TM)</t>
    </r>
  </si>
  <si>
    <t xml:space="preserve">Alquilar almacén externo (Lima) </t>
  </si>
  <si>
    <t>Costo
Fijo</t>
  </si>
  <si>
    <t>Costo Falso Flete</t>
  </si>
  <si>
    <t>-</t>
  </si>
  <si>
    <t>Costo Producto Oxidado*</t>
  </si>
  <si>
    <t>Costo 
(Soles/TM)</t>
  </si>
  <si>
    <t>Transporte Lima - Pisco (para almacenamiento)</t>
  </si>
  <si>
    <t xml:space="preserve">Alquilar almacén externo (Arequipa) </t>
  </si>
  <si>
    <t>Translado del puerto Callao a CD Lima (para almacenamiento)</t>
  </si>
  <si>
    <t>Transporte Lima - Arequipa 
(para almacenamiento)</t>
  </si>
  <si>
    <t>Costos de Reactivación</t>
  </si>
  <si>
    <t>Servicio técnico</t>
  </si>
  <si>
    <t>Piezas de cambio</t>
  </si>
  <si>
    <t>Consumo energía</t>
  </si>
  <si>
    <t>TOTAL</t>
  </si>
  <si>
    <t>Sueldo</t>
  </si>
  <si>
    <t>Hospedaje</t>
  </si>
  <si>
    <t>Alimentación</t>
  </si>
  <si>
    <t>Incentivos y bono por cuota de producción</t>
  </si>
  <si>
    <t>Costos MO Limeña*</t>
  </si>
  <si>
    <t xml:space="preserve">Capacitación </t>
  </si>
  <si>
    <t>Demanda</t>
  </si>
  <si>
    <t>Ayacucho</t>
  </si>
  <si>
    <t>CD Lima</t>
  </si>
  <si>
    <t>AQP</t>
  </si>
  <si>
    <t>Cusco</t>
  </si>
  <si>
    <t>Moquegua</t>
  </si>
  <si>
    <t>Apurimac</t>
  </si>
  <si>
    <t>Bolivia</t>
  </si>
  <si>
    <t>Inventario en meses</t>
  </si>
  <si>
    <t>Mes</t>
  </si>
  <si>
    <t>Transporte puerto Callao - Pisco</t>
  </si>
  <si>
    <t>Transporte Pisco - CD Lima</t>
  </si>
  <si>
    <t>Costo Fijo Falso Flete</t>
  </si>
  <si>
    <t>País de Origen</t>
  </si>
  <si>
    <t>10 de octubre</t>
  </si>
  <si>
    <t>5 de septiembre</t>
  </si>
  <si>
    <t>TM</t>
  </si>
  <si>
    <t>Demanda anual</t>
  </si>
  <si>
    <t>Producción mensual</t>
  </si>
  <si>
    <t>Producción</t>
  </si>
  <si>
    <t>Ventas</t>
  </si>
  <si>
    <r>
      <t xml:space="preserve">Costo PT </t>
    </r>
    <r>
      <rPr>
        <b/>
        <sz val="10"/>
        <color theme="1"/>
        <rFont val="Arial"/>
        <family val="2"/>
      </rPr>
      <t>(US$/TM)</t>
    </r>
  </si>
  <si>
    <t>Costo Total</t>
  </si>
  <si>
    <t>Tipo de cambio</t>
  </si>
  <si>
    <t>Costo Total/TM</t>
  </si>
  <si>
    <r>
      <t>10 de dicembre</t>
    </r>
    <r>
      <rPr>
        <vertAlign val="superscript"/>
        <sz val="11"/>
        <color theme="1"/>
        <rFont val="Arial"/>
        <family val="2"/>
      </rPr>
      <t>1</t>
    </r>
  </si>
  <si>
    <t>Cálculo Costo Reproceso</t>
  </si>
  <si>
    <t>Costo Fijo  (Soles/1,000TM)</t>
  </si>
  <si>
    <t>miles de TM</t>
  </si>
  <si>
    <t>Costo Total por 1000TM</t>
  </si>
  <si>
    <t>Costo Reproceso</t>
  </si>
  <si>
    <t>Cálculo Costo Alquilar Almacén</t>
  </si>
  <si>
    <t>Costo Fijo 
(Soles/1,000TM)</t>
  </si>
  <si>
    <t>Costo Alq Almacén</t>
  </si>
  <si>
    <t>Costo Enviar Pisco</t>
  </si>
  <si>
    <t>Costo Fijo Falso Flete
(Soles/100TM)</t>
  </si>
  <si>
    <t>Costo Producto Oxidado (Soles/100TM)</t>
  </si>
  <si>
    <t>Costo Total + FF ó Oxido</t>
  </si>
  <si>
    <t>Cliente satisfecho</t>
  </si>
  <si>
    <t>Calidad del PT aceptable</t>
  </si>
  <si>
    <t>Devolución</t>
  </si>
  <si>
    <t>Utilizar la línea de reproceso</t>
  </si>
  <si>
    <t>Calidad PT no aceptable</t>
  </si>
  <si>
    <t>Calidad del PT media</t>
  </si>
  <si>
    <t>No utilizar la línea de reproceso</t>
  </si>
  <si>
    <t>Importar de China</t>
  </si>
  <si>
    <t>Alquilar almacén externo en Lima</t>
  </si>
  <si>
    <t>Barco llegue 05/09</t>
  </si>
  <si>
    <t>Carga de retorno</t>
  </si>
  <si>
    <t>Enviar PT a Pisco</t>
  </si>
  <si>
    <t>Importar de Brasil</t>
  </si>
  <si>
    <t>Falso flete</t>
  </si>
  <si>
    <t>Barco llegue 10/12</t>
  </si>
  <si>
    <t>ID</t>
  </si>
  <si>
    <t>Name</t>
  </si>
  <si>
    <t>Value</t>
  </si>
  <si>
    <t>Prob</t>
  </si>
  <si>
    <t>Pred</t>
  </si>
  <si>
    <t>Kind</t>
  </si>
  <si>
    <t>NS</t>
  </si>
  <si>
    <t>S1</t>
  </si>
  <si>
    <t>S2</t>
  </si>
  <si>
    <t>S3</t>
  </si>
  <si>
    <t>S4</t>
  </si>
  <si>
    <t>S5</t>
  </si>
  <si>
    <t>Row</t>
  </si>
  <si>
    <t>Col</t>
  </si>
  <si>
    <t>Mark</t>
  </si>
  <si>
    <t>TreePlan</t>
  </si>
  <si>
    <t>D</t>
  </si>
  <si>
    <t>T</t>
  </si>
  <si>
    <t>E</t>
  </si>
  <si>
    <t>Ventas perdidas por falta de producto</t>
  </si>
  <si>
    <t>Ventas a tiempo</t>
  </si>
  <si>
    <t>Calidad del PT pobre</t>
  </si>
  <si>
    <t>Producto Ok venta</t>
  </si>
  <si>
    <t>PT con óxido &gt; 1.5°</t>
  </si>
  <si>
    <t>Calidad PT no aceptable, enviar a chatarreo</t>
  </si>
  <si>
    <t>Costo Devolución</t>
  </si>
  <si>
    <t>Q media</t>
  </si>
  <si>
    <t>Q pobre</t>
  </si>
  <si>
    <t>c/reproceso</t>
  </si>
  <si>
    <t>s/reproceso</t>
  </si>
  <si>
    <t>Octubre</t>
  </si>
  <si>
    <t>Noviembre</t>
  </si>
  <si>
    <t>Diciembre</t>
  </si>
  <si>
    <t>Inventario inicial</t>
  </si>
  <si>
    <t xml:space="preserve">Ventas </t>
  </si>
  <si>
    <t>Inventario final</t>
  </si>
  <si>
    <t>Planemiento de Ventas</t>
  </si>
  <si>
    <t>Septiembre</t>
  </si>
  <si>
    <t>Agosto</t>
  </si>
  <si>
    <t>Pedido especial Gobierno</t>
  </si>
  <si>
    <t>Datos iniciales:</t>
  </si>
  <si>
    <t>Inventario Inicial</t>
  </si>
  <si>
    <t>Tasa de crecimiento mensual</t>
  </si>
  <si>
    <t>Costo PT (US$/TM)</t>
  </si>
  <si>
    <t>Costo estiba
(Soles/TM)</t>
  </si>
  <si>
    <t>Costos operativos
(Soles/TM)</t>
  </si>
  <si>
    <r>
      <t>30 de noviembre</t>
    </r>
    <r>
      <rPr>
        <vertAlign val="superscript"/>
        <sz val="10"/>
        <color theme="1"/>
        <rFont val="Arial"/>
        <family val="2"/>
      </rPr>
      <t>1</t>
    </r>
  </si>
  <si>
    <t>Tipo de cambio 2007</t>
  </si>
  <si>
    <r>
      <t xml:space="preserve">Costo Fijo 
</t>
    </r>
    <r>
      <rPr>
        <sz val="9"/>
        <color theme="1"/>
        <rFont val="Arial"/>
        <family val="2"/>
      </rPr>
      <t>(Soles/1,000TM)</t>
    </r>
  </si>
  <si>
    <r>
      <t xml:space="preserve">Costo Producto Oxidado </t>
    </r>
    <r>
      <rPr>
        <sz val="9"/>
        <color theme="1"/>
        <rFont val="Arial"/>
        <family val="2"/>
      </rPr>
      <t>(Soles/100TM)</t>
    </r>
  </si>
  <si>
    <t>Costo Total Alm. Externo</t>
  </si>
  <si>
    <t>Costo Total Pdto. Oxidado</t>
  </si>
  <si>
    <t>Almacén Externo</t>
  </si>
  <si>
    <t>% de Oxidación</t>
  </si>
  <si>
    <t>Falso flete TM</t>
  </si>
  <si>
    <t xml:space="preserve">Alquilar almacén externo </t>
  </si>
  <si>
    <t>Costo de Devolución (S/./TM)</t>
  </si>
  <si>
    <t>Total TM Almacenadas</t>
  </si>
  <si>
    <t>Total TM oxidadas</t>
  </si>
  <si>
    <t>Total TM Sin óxido</t>
  </si>
  <si>
    <t>% de Devolución</t>
  </si>
  <si>
    <t>Cálculo Costo Enviar a Pisco</t>
  </si>
  <si>
    <r>
      <t xml:space="preserve">Costo Falso Flete
</t>
    </r>
    <r>
      <rPr>
        <sz val="9"/>
        <color theme="1"/>
        <rFont val="Arial"/>
        <family val="2"/>
      </rPr>
      <t>(Soles/100TM)</t>
    </r>
  </si>
  <si>
    <t>Total TM Falso Flete</t>
  </si>
  <si>
    <t>Costo Total envío Pisco</t>
  </si>
  <si>
    <t>Costo Total Falso Flete</t>
  </si>
  <si>
    <t>Cálculo Costo Ventas perdidas</t>
  </si>
  <si>
    <t>Ventas perdidas (TM)</t>
  </si>
  <si>
    <t>Costo de venta perdida/TM</t>
  </si>
  <si>
    <t>Mano de Obra (Operarios)</t>
  </si>
  <si>
    <r>
      <t xml:space="preserve">Costo Almacenamiento
</t>
    </r>
    <r>
      <rPr>
        <sz val="9"/>
        <color theme="1"/>
        <rFont val="Arial"/>
        <family val="2"/>
      </rPr>
      <t>(Soles/100TM)</t>
    </r>
  </si>
  <si>
    <r>
      <t xml:space="preserve">Costo 
Transporte
</t>
    </r>
    <r>
      <rPr>
        <sz val="9"/>
        <color theme="1"/>
        <rFont val="Arial"/>
        <family val="2"/>
      </rPr>
      <t>(Soles/TM)</t>
    </r>
  </si>
  <si>
    <t>Total TM a enviar a Pisco</t>
  </si>
  <si>
    <t>Total TM a enviar a Pisco para Reproceso</t>
  </si>
  <si>
    <t>Costo Total reproceso</t>
  </si>
  <si>
    <t>Costo Calidad no Aceptable</t>
  </si>
  <si>
    <t>Costo TOTAL</t>
  </si>
  <si>
    <t>Sin reproceso</t>
  </si>
  <si>
    <t>Con reproceso</t>
  </si>
  <si>
    <t>Calidad media</t>
  </si>
  <si>
    <t>Calidad pobre</t>
  </si>
  <si>
    <t>Calidad Aceptable</t>
  </si>
  <si>
    <t>Costo de devolución 15% más que el precio de MP</t>
  </si>
  <si>
    <t>Criterios de evaluación</t>
  </si>
  <si>
    <t>Riesgo en la calidad del producto del proveedor Boashan Iron &amp; Steel (China)</t>
  </si>
  <si>
    <t>Importar</t>
  </si>
  <si>
    <t xml:space="preserve"> de China</t>
  </si>
  <si>
    <t xml:space="preserve">Importar </t>
  </si>
  <si>
    <t>de Brasil</t>
  </si>
  <si>
    <t>Responsable</t>
  </si>
  <si>
    <t>Plan de acción</t>
  </si>
  <si>
    <t>Jefe de Compras e Importaciones</t>
  </si>
  <si>
    <t>Jefe de Distribución</t>
  </si>
  <si>
    <t>Superintendente planta Pisco</t>
  </si>
  <si>
    <t>Gerencia de Logística</t>
  </si>
  <si>
    <t>Ventas perdidas</t>
  </si>
  <si>
    <t>ii) CRITERIOS DE EVALUACIÓN</t>
  </si>
  <si>
    <t>iii) EVALUACIÓN DE ALTERNATIVAS</t>
  </si>
  <si>
    <t>iii) ANÁLISIS</t>
  </si>
  <si>
    <t>Ventas mensual</t>
  </si>
  <si>
    <t>Costo de Devolución (Soles/TM)</t>
  </si>
  <si>
    <t>Pedido especial del Gobierno</t>
  </si>
  <si>
    <t>Tipo de cambio de 2007</t>
  </si>
  <si>
    <t>Proyección de las Ventas a Dicembre del 2007</t>
  </si>
  <si>
    <t xml:space="preserve">Alquilar Almacén Externo </t>
  </si>
  <si>
    <t>Costo Total Producto Oxidado</t>
  </si>
  <si>
    <t>Importación producto terminado</t>
  </si>
  <si>
    <t>Enviar a Pisco</t>
  </si>
  <si>
    <t>Costo Total Vta Perdida</t>
  </si>
  <si>
    <t>Venta</t>
  </si>
  <si>
    <t>Margen bruto</t>
  </si>
  <si>
    <t>Ingresos VENTA TOTAL</t>
  </si>
  <si>
    <t>Ventas (tasa crecimiento 10%)</t>
  </si>
  <si>
    <t>25 de septiembre</t>
  </si>
  <si>
    <t>Barco llegue 30/11</t>
  </si>
  <si>
    <t>Costos habilitar Línea de Reproceso</t>
  </si>
  <si>
    <t>Costo Total Reproceso</t>
  </si>
  <si>
    <t>Incentidumbre 2</t>
  </si>
  <si>
    <t>Incentidumbre 1</t>
  </si>
  <si>
    <t>Decisión</t>
  </si>
  <si>
    <t>Utilizar línea reproceso</t>
  </si>
  <si>
    <t>Incentidumbre 3</t>
  </si>
  <si>
    <t>Ingresos</t>
  </si>
  <si>
    <r>
      <t xml:space="preserve">Costo Fijo  </t>
    </r>
    <r>
      <rPr>
        <sz val="10"/>
        <color theme="3"/>
        <rFont val="Arial"/>
        <family val="2"/>
      </rPr>
      <t>(Soles/1,000TM)</t>
    </r>
  </si>
  <si>
    <r>
      <t xml:space="preserve">Costo 
Transporte
</t>
    </r>
    <r>
      <rPr>
        <sz val="10"/>
        <color theme="3"/>
        <rFont val="Arial"/>
        <family val="2"/>
      </rPr>
      <t>(Soles/TM)</t>
    </r>
  </si>
  <si>
    <t>Costo</t>
  </si>
  <si>
    <t>Éxito</t>
  </si>
  <si>
    <t>Fracaso</t>
  </si>
  <si>
    <t>Devolución 20%</t>
  </si>
  <si>
    <t>Devolución 5%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</si>
  <si>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</si>
  <si>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</si>
  <si>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</si>
  <si>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</si>
  <si>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</si>
  <si>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</si>
  <si>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</si>
  <si>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</si>
  <si>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</si>
  <si>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</si>
  <si>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</si>
  <si>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</si>
  <si>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</si>
  <si>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</si>
  <si>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</si>
  <si>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</si>
  <si>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</si>
  <si>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30 de noviembre</t>
  </si>
  <si>
    <t>Alternativa</t>
  </si>
  <si>
    <t>Precio de venta (Soles /TM)</t>
  </si>
  <si>
    <t>No utilizar línea reproceso</t>
  </si>
  <si>
    <t>Calidad Pobre</t>
  </si>
  <si>
    <t>Calidad Promedio</t>
  </si>
  <si>
    <t>Barco llegue
5 sep</t>
  </si>
  <si>
    <t>Alquilar almacén ext.</t>
  </si>
  <si>
    <t>PT  sin óxido</t>
  </si>
  <si>
    <t>Falso flete 50%</t>
  </si>
  <si>
    <r>
      <t xml:space="preserve">Costo Fijo 
</t>
    </r>
    <r>
      <rPr>
        <sz val="10"/>
        <color theme="3"/>
        <rFont val="Arial"/>
        <family val="2"/>
      </rPr>
      <t>(Soles/1,000TM)</t>
    </r>
  </si>
  <si>
    <r>
      <t xml:space="preserve">Costo Almacenamiento
</t>
    </r>
    <r>
      <rPr>
        <sz val="10"/>
        <color theme="3"/>
        <rFont val="Arial"/>
        <family val="2"/>
      </rPr>
      <t>(Soles/100TM)</t>
    </r>
  </si>
  <si>
    <r>
      <t xml:space="preserve">Costo Producto Oxidado </t>
    </r>
    <r>
      <rPr>
        <sz val="10"/>
        <color theme="3"/>
        <rFont val="Arial"/>
        <family val="2"/>
      </rPr>
      <t>(Soles/100TM)</t>
    </r>
  </si>
  <si>
    <r>
      <t>Costo Falso Flete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
</t>
    </r>
    <r>
      <rPr>
        <sz val="10"/>
        <color theme="3"/>
        <rFont val="Arial"/>
        <family val="2"/>
      </rPr>
      <t>(Soles/100TM)</t>
    </r>
  </si>
  <si>
    <t>PT sin óxido, ok venta</t>
  </si>
  <si>
    <t>PT con óxido</t>
  </si>
  <si>
    <t>Devolución 10%</t>
  </si>
  <si>
    <t>Falso flete 50% PT</t>
  </si>
  <si>
    <t>Devolución 60%</t>
  </si>
  <si>
    <t>Cliente satisfecho (Calidad promedio)</t>
  </si>
  <si>
    <t>Devolución 5% (Calidad promedio)</t>
  </si>
  <si>
    <t>Calidad PT no aceptable, enviar a chatarreo (Calidad promedio)</t>
  </si>
  <si>
    <t>Cliente satisfecho (Calidad del PT pobre)</t>
  </si>
  <si>
    <t>Devolución 20% (Calidad del PT pobre)</t>
  </si>
  <si>
    <t>Calidad PT no aceptable, enviar a chatarreo(Calidad del PT pobre)</t>
  </si>
  <si>
    <t>Criterio económico</t>
  </si>
  <si>
    <t>Maximizar la rentabilidad de APSA</t>
  </si>
  <si>
    <t>Mantener y/o mejorar la participación de mercado</t>
  </si>
  <si>
    <t>Satisfacer la demanda del cliente con un producto de calidad estandar</t>
  </si>
  <si>
    <t>Riesgo en el tiempo de dispocisión del producto para la venta (importación de Brasil)</t>
  </si>
  <si>
    <t>Criterio de riesgo</t>
  </si>
  <si>
    <t>Criterio social</t>
  </si>
  <si>
    <t>Mantener buenas relaciones con el Estado Peruano</t>
  </si>
  <si>
    <t>Fortalecer las relaciones con los pobladores de Pisco</t>
  </si>
  <si>
    <t>Devolución 40%</t>
  </si>
  <si>
    <t>Calidad
Pobre</t>
  </si>
  <si>
    <t>100% - Clientes Satisfechos
 0%    - Devoluciones</t>
  </si>
  <si>
    <t>95% - Clientes Satisfechos
 5%    - Devoluciones</t>
  </si>
  <si>
    <t>Incertidumbre 1</t>
  </si>
  <si>
    <t>Incertidumbre 2</t>
  </si>
  <si>
    <t>Incertidumbre 3</t>
  </si>
  <si>
    <t>60% - Clientes Satisfechos
40% - Devoluciones</t>
  </si>
  <si>
    <t>80% - Clientes Satisfechos
20%    - Devoluciones</t>
  </si>
  <si>
    <t>40% - Clientes Satisfechos
60% - Devoluciones</t>
  </si>
  <si>
    <t>Éxito - 90%</t>
  </si>
  <si>
    <t>Calidad promedio</t>
  </si>
  <si>
    <t>Suceso</t>
  </si>
  <si>
    <t>Línea de reproceso</t>
  </si>
  <si>
    <t>Éxito - 85%</t>
  </si>
  <si>
    <t>95% - Clientes Satisfechos
 5%  - Devoluciones</t>
  </si>
  <si>
    <t>80% - Clientes Satisfechos
20% - Devoluciones</t>
  </si>
  <si>
    <t>40% - Clientes Satisfechos
60%  - Devoluciones</t>
  </si>
  <si>
    <r>
      <t>Costo PT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(US$/TM)</t>
    </r>
  </si>
  <si>
    <r>
      <rPr>
        <vertAlign val="superscript"/>
        <sz val="9"/>
        <color theme="3"/>
        <rFont val="Arial"/>
        <family val="2"/>
      </rPr>
      <t>(1)</t>
    </r>
    <r>
      <rPr>
        <sz val="9"/>
        <color theme="3"/>
        <rFont val="Arial"/>
        <family val="2"/>
      </rPr>
      <t xml:space="preserve"> El Comité Ejecutivo preveía pagar falso flete por un total de 17,500 TM</t>
    </r>
  </si>
  <si>
    <r>
      <rPr>
        <vertAlign val="superscript"/>
        <sz val="9"/>
        <color theme="3"/>
        <rFont val="Arial"/>
        <family val="2"/>
      </rPr>
      <t>(1)</t>
    </r>
    <r>
      <rPr>
        <sz val="9"/>
        <color theme="3"/>
        <rFont val="Arial"/>
        <family val="2"/>
      </rPr>
      <t xml:space="preserve"> El tipo de cambio para el año 2007: S/. 3.00 nuevos soles por dólar.</t>
    </r>
  </si>
  <si>
    <t>Criterio satisfacción del cliente</t>
  </si>
  <si>
    <r>
      <t>Mantener y/o mejorar la participación de mercado</t>
    </r>
    <r>
      <rPr>
        <vertAlign val="superscript"/>
        <sz val="10"/>
        <color theme="3"/>
        <rFont val="Arial"/>
        <family val="2"/>
      </rPr>
      <t>1</t>
    </r>
  </si>
  <si>
    <r>
      <rPr>
        <vertAlign val="superscript"/>
        <sz val="9"/>
        <color theme="3"/>
        <rFont val="Arial"/>
        <family val="2"/>
      </rPr>
      <t>(1)</t>
    </r>
    <r>
      <rPr>
        <sz val="9"/>
        <color theme="3"/>
        <rFont val="Arial"/>
        <family val="2"/>
      </rPr>
      <t xml:space="preserve"> El Comité Ejecutivo consideraba incrementar 1% con respecto a la actual participación, si se decide importar de Brasil. Por otro lado si se decide importar de China, la participación de mercado permanecería igual. </t>
    </r>
  </si>
  <si>
    <t>∑=</t>
  </si>
  <si>
    <t>Cronograma</t>
  </si>
  <si>
    <t>Informar de la decisión a todas las áreas pertinentes.</t>
  </si>
  <si>
    <t>Comité Ejecutivo</t>
  </si>
  <si>
    <t>Confirmar el pedido de 35,000TM con el proveedor Boashan Iron &amp; Steel (China)</t>
  </si>
  <si>
    <t>Realizar el plan de abastecimiento  desde la planta de Pisco hacia CD Lima.</t>
  </si>
  <si>
    <t xml:space="preserve">Habilitar la línea de reproceso en la planta de Pisco. </t>
  </si>
  <si>
    <t>Realizar seguimiento del pedido hasta que el producto llegue al puerto del Callao.</t>
  </si>
  <si>
    <t>Solicitar a los proveedores de transporte la disponibilidad de unidades, para el traslado del producto terminado.</t>
  </si>
  <si>
    <t>Rama</t>
  </si>
  <si>
    <t>Resultado posible</t>
  </si>
  <si>
    <t>VME</t>
  </si>
  <si>
    <t>VME' (a)</t>
  </si>
  <si>
    <t>VME' (b)</t>
  </si>
  <si>
    <t>VME' (c)</t>
  </si>
  <si>
    <t>El mejor VME:</t>
  </si>
  <si>
    <t>VME' (d)</t>
  </si>
  <si>
    <t>VME' (e)</t>
  </si>
  <si>
    <t>VME' (f)</t>
  </si>
  <si>
    <t>VME' (alternativa a)</t>
  </si>
  <si>
    <t>VME' (g)</t>
  </si>
  <si>
    <t>VME' (h)</t>
  </si>
  <si>
    <t>VME' (i)</t>
  </si>
  <si>
    <t>VME' (j)</t>
  </si>
  <si>
    <t>VME' (alternativa b)</t>
  </si>
  <si>
    <t>Suceso 1</t>
  </si>
  <si>
    <t>Suceso 2</t>
  </si>
  <si>
    <t>Suceso 3</t>
  </si>
  <si>
    <t>VME' (a) =</t>
  </si>
  <si>
    <t>VME' (b) =</t>
  </si>
  <si>
    <t>VME' (c) =</t>
  </si>
  <si>
    <t>VME' (d) =</t>
  </si>
  <si>
    <t>VME' (e) =</t>
  </si>
  <si>
    <t>VME' (f) =</t>
  </si>
  <si>
    <t>VME' (alt a) =</t>
  </si>
  <si>
    <t>VME' (g) =</t>
  </si>
  <si>
    <t>VME' (h) =</t>
  </si>
  <si>
    <t>VME' (i) =</t>
  </si>
  <si>
    <t>VME' (j) =</t>
  </si>
  <si>
    <t>VME' (alt b) =</t>
  </si>
  <si>
    <t>VME (alt a) =</t>
  </si>
  <si>
    <t>Leyenda:</t>
  </si>
  <si>
    <t>Representa el costo de la rama.</t>
  </si>
  <si>
    <t>Representa los ingresos de la rama</t>
  </si>
  <si>
    <t>Representa el valor monetario esperado (VME)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</si>
</sst>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_-&quot;$&quot;* #,##0.00_-;\-&quot;$&quot;* #,##0.00_-;_-&quot;$&quot;* &quot;-&quot;??_-;_-@_-"/>
    <numFmt numFmtId="165" formatCode="[$S/.-280A]\ #,##0.00"/>
    <numFmt numFmtId="166" formatCode="[$S/.-280A]\ #,##0"/>
    <numFmt numFmtId="167" formatCode="#,##0_ ;\-#,##0\ "/>
    <numFmt numFmtId="168" formatCode="[$S/.-280A]#,##0.00"/>
    <numFmt numFmtId="169" formatCode="[$S/.-280A]#,##0.0"/>
    <numFmt numFmtId="170" formatCode="[$S/.-280A]#,##0"/>
    <numFmt numFmtId="171" formatCode="#,##0.0"/>
    <numFmt numFmtId="172" formatCode="[$S/.-280A]#,##0;[Red][$S/.-280A]#,##0"/>
    <numFmt numFmtId="173" formatCode="0.0%"/>
    <numFmt numFmtId="174" formatCode="#,##0_ ;[Red]\-#,##0\ "/>
  </numFmts>
  <fonts count="56" x14ac:knownFonts="1">
    <font>
      <sz val="11"/>
      <color theme="1"/>
      <name val="Calibri Light"/>
      <family val="2"/>
    </font>
    <font>
      <b/>
      <sz val="9"/>
      <color theme="1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Calibri Light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 Light"/>
      <family val="2"/>
    </font>
    <font>
      <vertAlign val="superscript"/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 Light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5"/>
      <name val="Calibri"/>
      <family val="2"/>
      <scheme val="minor"/>
    </font>
    <font>
      <sz val="12"/>
      <color theme="8"/>
      <name val="Calibri"/>
      <family val="2"/>
      <scheme val="minor"/>
    </font>
    <font>
      <sz val="12"/>
      <color theme="3"/>
      <name val="Calibri"/>
      <family val="2"/>
      <scheme val="minor"/>
    </font>
    <font>
      <sz val="12"/>
      <color theme="7"/>
      <name val="Calibri"/>
      <family val="2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4"/>
      <name val="Calibri"/>
      <family val="2"/>
      <scheme val="minor"/>
    </font>
    <font>
      <vertAlign val="superscript"/>
      <sz val="10"/>
      <color theme="1"/>
      <name val="Arial"/>
      <family val="2"/>
    </font>
    <font>
      <sz val="11"/>
      <color theme="0"/>
      <name val="Calibri Light"/>
      <family val="2"/>
    </font>
    <font>
      <sz val="10"/>
      <color theme="3"/>
      <name val="Arial"/>
      <family val="2"/>
    </font>
    <font>
      <b/>
      <sz val="10"/>
      <color rgb="FFFFFFFF"/>
      <name val="Arial"/>
      <family val="2"/>
    </font>
    <font>
      <sz val="11"/>
      <color theme="3"/>
      <name val="Calibri Light"/>
      <family val="2"/>
    </font>
    <font>
      <sz val="12"/>
      <color rgb="FF1F497D"/>
      <name val="Arial"/>
      <family val="2"/>
    </font>
    <font>
      <sz val="11"/>
      <color theme="3"/>
      <name val="Arial"/>
      <family val="2"/>
    </font>
    <font>
      <b/>
      <sz val="10"/>
      <color theme="3"/>
      <name val="Arial"/>
      <family val="2"/>
    </font>
    <font>
      <b/>
      <u/>
      <sz val="10"/>
      <color theme="3"/>
      <name val="Arial"/>
      <family val="2"/>
    </font>
    <font>
      <sz val="11"/>
      <color theme="5"/>
      <name val="Arial"/>
      <family val="2"/>
    </font>
    <font>
      <sz val="11"/>
      <color theme="4"/>
      <name val="Arial"/>
      <family val="2"/>
    </font>
    <font>
      <sz val="11"/>
      <color theme="8"/>
      <name val="Arial"/>
      <family val="2"/>
    </font>
    <font>
      <sz val="11"/>
      <color theme="7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10"/>
      <color theme="3"/>
      <name val="Calibri Light"/>
      <family val="2"/>
    </font>
    <font>
      <b/>
      <vertAlign val="superscript"/>
      <sz val="10"/>
      <color theme="3"/>
      <name val="Arial"/>
      <family val="2"/>
    </font>
    <font>
      <sz val="9"/>
      <color theme="3"/>
      <name val="Arial"/>
      <family val="2"/>
    </font>
    <font>
      <vertAlign val="superscript"/>
      <sz val="9"/>
      <color theme="3"/>
      <name val="Arial"/>
      <family val="2"/>
    </font>
    <font>
      <vertAlign val="superscript"/>
      <sz val="10"/>
      <color theme="3"/>
      <name val="Arial"/>
      <family val="2"/>
    </font>
    <font>
      <sz val="12"/>
      <color theme="1"/>
      <name val="Arial"/>
      <family val="2"/>
    </font>
    <font>
      <sz val="12"/>
      <color theme="5"/>
      <name val="Arial"/>
      <family val="2"/>
    </font>
    <font>
      <b/>
      <sz val="9"/>
      <color rgb="FFFFFFFF"/>
      <name val="Arial"/>
      <family val="2"/>
    </font>
    <font>
      <sz val="11"/>
      <color rgb="FFFF000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color theme="4"/>
      <name val="Arial"/>
      <family val="2"/>
    </font>
    <font>
      <b/>
      <sz val="12"/>
      <color theme="4"/>
      <name val="Arial"/>
      <family val="2"/>
    </font>
    <font>
      <b/>
      <sz val="13"/>
      <color theme="4"/>
      <name val="Arial"/>
      <family val="2"/>
    </font>
    <font>
      <sz val="11"/>
      <color theme="1"/>
      <name val="Arial Unicode MS"/>
      <family val="2"/>
    </font>
    <font>
      <sz val="11"/>
      <color theme="5"/>
      <name val="Calibri Light"/>
      <family val="2"/>
    </font>
    <font>
      <sz val="12"/>
      <color theme="4"/>
      <name val="Calibri Light"/>
      <family val="2"/>
    </font>
    <font>
      <b/>
      <u/>
      <sz val="11"/>
      <color theme="1"/>
      <name val="Calibri Light"/>
      <family val="2"/>
    </font>
    <font>
      <sz val="12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</fills>
  <borders count="10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hair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FFFFFF"/>
      </right>
      <top/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/>
      <right/>
      <top/>
      <bottom style="double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hair">
        <color indexed="64"/>
      </bottom>
      <diagonal/>
    </border>
    <border>
      <left style="thin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thin">
        <color theme="3"/>
      </left>
      <right style="thin">
        <color theme="3"/>
      </right>
      <top style="hair">
        <color indexed="64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theme="3"/>
      </right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3"/>
      </bottom>
      <diagonal/>
    </border>
    <border>
      <left style="thin">
        <color indexed="64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/>
      <top style="thin">
        <color theme="3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3"/>
      </bottom>
      <diagonal/>
    </border>
    <border>
      <left/>
      <right style="thin">
        <color theme="3"/>
      </right>
      <top style="hair">
        <color indexed="64"/>
      </top>
      <bottom style="thin">
        <color theme="3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hair">
        <color theme="3"/>
      </right>
      <top style="thin">
        <color theme="3"/>
      </top>
      <bottom/>
      <diagonal/>
    </border>
    <border>
      <left style="hair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hair">
        <color theme="3"/>
      </right>
      <top/>
      <bottom style="thin">
        <color theme="3"/>
      </bottom>
      <diagonal/>
    </border>
    <border>
      <left style="hair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hair">
        <color theme="3"/>
      </right>
      <top style="thin">
        <color theme="3"/>
      </top>
      <bottom style="thin">
        <color theme="3"/>
      </bottom>
      <diagonal/>
    </border>
    <border>
      <left style="hair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theme="3"/>
      </bottom>
      <diagonal/>
    </border>
    <border>
      <left/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hair">
        <color theme="3"/>
      </bottom>
      <diagonal/>
    </border>
    <border>
      <left style="thin">
        <color indexed="64"/>
      </left>
      <right/>
      <top style="thin">
        <color indexed="64"/>
      </top>
      <bottom style="thin">
        <color theme="3"/>
      </bottom>
      <diagonal/>
    </border>
    <border>
      <left/>
      <right style="thin">
        <color indexed="64"/>
      </right>
      <top style="thin">
        <color indexed="64"/>
      </top>
      <bottom style="thin">
        <color theme="3"/>
      </bottom>
      <diagonal/>
    </border>
    <border>
      <left style="thin">
        <color theme="3"/>
      </left>
      <right style="hair">
        <color theme="3"/>
      </right>
      <top/>
      <bottom style="thin">
        <color indexed="64"/>
      </bottom>
      <diagonal/>
    </border>
    <border>
      <left style="hair">
        <color theme="3"/>
      </left>
      <right style="thin">
        <color theme="3"/>
      </right>
      <top/>
      <bottom style="thin">
        <color indexed="64"/>
      </bottom>
      <diagonal/>
    </border>
    <border>
      <left style="thin">
        <color theme="3"/>
      </left>
      <right/>
      <top style="thin">
        <color theme="3"/>
      </top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 style="thin">
        <color indexed="64"/>
      </bottom>
      <diagonal/>
    </border>
    <border>
      <left style="hair">
        <color theme="3"/>
      </left>
      <right style="thin">
        <color theme="3"/>
      </right>
      <top style="thin">
        <color indexed="64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dotted">
        <color theme="3"/>
      </top>
      <bottom style="thin">
        <color theme="3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theme="3"/>
      </left>
      <right style="medium">
        <color theme="0"/>
      </right>
      <top style="thin">
        <color theme="3"/>
      </top>
      <bottom/>
      <diagonal/>
    </border>
    <border>
      <left style="medium">
        <color theme="0"/>
      </left>
      <right style="medium">
        <color theme="0"/>
      </right>
      <top style="thin">
        <color theme="3"/>
      </top>
      <bottom/>
      <diagonal/>
    </border>
    <border>
      <left/>
      <right style="medium">
        <color rgb="FFFFFFFF"/>
      </right>
      <top style="thin">
        <color theme="3"/>
      </top>
      <bottom style="thin">
        <color theme="0"/>
      </bottom>
      <diagonal/>
    </border>
    <border>
      <left/>
      <right style="thin">
        <color theme="3"/>
      </right>
      <top style="thin">
        <color theme="3"/>
      </top>
      <bottom style="thin">
        <color theme="0"/>
      </bottom>
      <diagonal/>
    </border>
    <border>
      <left style="thin">
        <color theme="3"/>
      </left>
      <right style="medium">
        <color theme="0"/>
      </right>
      <top/>
      <bottom style="medium">
        <color theme="0"/>
      </bottom>
      <diagonal/>
    </border>
    <border>
      <left/>
      <right style="thin">
        <color theme="3"/>
      </right>
      <top/>
      <bottom/>
      <diagonal/>
    </border>
    <border>
      <left style="thin">
        <color theme="3"/>
      </left>
      <right style="medium">
        <color rgb="FFFFFFFF"/>
      </right>
      <top/>
      <bottom style="medium">
        <color rgb="FFFFFFFF"/>
      </bottom>
      <diagonal/>
    </border>
    <border>
      <left style="thin">
        <color theme="3"/>
      </left>
      <right style="medium">
        <color rgb="FFFFFFFF"/>
      </right>
      <top/>
      <bottom style="thin">
        <color theme="3"/>
      </bottom>
      <diagonal/>
    </border>
    <border>
      <left/>
      <right style="medium">
        <color rgb="FFFFFFFF"/>
      </right>
      <top/>
      <bottom style="thin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 style="thin">
        <color theme="3"/>
      </left>
      <right style="hair">
        <color theme="3"/>
      </right>
      <top/>
      <bottom/>
      <diagonal/>
    </border>
    <border>
      <left style="hair">
        <color theme="3"/>
      </left>
      <right style="thin">
        <color theme="3"/>
      </right>
      <top/>
      <bottom/>
      <diagonal/>
    </border>
    <border>
      <left style="medium">
        <color theme="8"/>
      </left>
      <right/>
      <top style="medium">
        <color theme="8"/>
      </top>
      <bottom/>
      <diagonal/>
    </border>
    <border>
      <left/>
      <right/>
      <top style="medium">
        <color theme="8"/>
      </top>
      <bottom/>
      <diagonal/>
    </border>
    <border>
      <left/>
      <right style="medium">
        <color theme="8"/>
      </right>
      <top style="medium">
        <color theme="8"/>
      </top>
      <bottom/>
      <diagonal/>
    </border>
    <border>
      <left style="medium">
        <color theme="8"/>
      </left>
      <right/>
      <top/>
      <bottom/>
      <diagonal/>
    </border>
    <border>
      <left/>
      <right style="medium">
        <color theme="8"/>
      </right>
      <top/>
      <bottom/>
      <diagonal/>
    </border>
    <border>
      <left style="medium">
        <color theme="8"/>
      </left>
      <right/>
      <top/>
      <bottom style="medium">
        <color theme="8"/>
      </bottom>
      <diagonal/>
    </border>
    <border>
      <left/>
      <right/>
      <top/>
      <bottom style="medium">
        <color theme="8"/>
      </bottom>
      <diagonal/>
    </border>
    <border>
      <left/>
      <right style="medium">
        <color theme="8"/>
      </right>
      <top/>
      <bottom style="medium">
        <color theme="8"/>
      </bottom>
      <diagonal/>
    </border>
  </borders>
  <cellStyleXfs count="7">
    <xf numFmtId="0" fontId="0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2" fillId="0" borderId="0"/>
    <xf numFmtId="0" fontId="19" fillId="0" borderId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</cellStyleXfs>
  <cellXfs count="535">
    <xf numFmtId="0" fontId="0" fillId="0" borderId="0" xfId="0"/>
    <xf numFmtId="3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9" fontId="3" fillId="2" borderId="1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3" fontId="0" fillId="0" borderId="1" xfId="0" applyNumberFormat="1" applyBorder="1"/>
    <xf numFmtId="3" fontId="5" fillId="0" borderId="0" xfId="0" applyNumberFormat="1" applyFont="1"/>
    <xf numFmtId="0" fontId="5" fillId="0" borderId="0" xfId="0" applyFont="1"/>
    <xf numFmtId="3" fontId="5" fillId="0" borderId="5" xfId="0" applyNumberFormat="1" applyFont="1" applyBorder="1"/>
    <xf numFmtId="3" fontId="5" fillId="0" borderId="6" xfId="0" applyNumberFormat="1" applyFont="1" applyBorder="1"/>
    <xf numFmtId="3" fontId="5" fillId="0" borderId="7" xfId="0" applyNumberFormat="1" applyFont="1" applyBorder="1"/>
    <xf numFmtId="3" fontId="5" fillId="0" borderId="8" xfId="0" applyNumberFormat="1" applyFont="1" applyBorder="1"/>
    <xf numFmtId="3" fontId="5" fillId="0" borderId="11" xfId="0" applyNumberFormat="1" applyFont="1" applyBorder="1"/>
    <xf numFmtId="3" fontId="5" fillId="0" borderId="12" xfId="0" applyNumberFormat="1" applyFont="1" applyBorder="1"/>
    <xf numFmtId="3" fontId="6" fillId="0" borderId="9" xfId="0" applyNumberFormat="1" applyFont="1" applyBorder="1"/>
    <xf numFmtId="3" fontId="6" fillId="0" borderId="10" xfId="0" applyNumberFormat="1" applyFont="1" applyBorder="1"/>
    <xf numFmtId="3" fontId="5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165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Font="1"/>
    <xf numFmtId="3" fontId="0" fillId="0" borderId="0" xfId="0" applyNumberFormat="1" applyFont="1"/>
    <xf numFmtId="9" fontId="0" fillId="0" borderId="0" xfId="1" applyFont="1"/>
    <xf numFmtId="9" fontId="0" fillId="0" borderId="1" xfId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5" fillId="0" borderId="17" xfId="0" applyFont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9" fontId="5" fillId="0" borderId="20" xfId="1" applyFont="1" applyBorder="1" applyAlignment="1">
      <alignment horizontal="center" vertical="center"/>
    </xf>
    <xf numFmtId="9" fontId="5" fillId="0" borderId="21" xfId="1" applyFont="1" applyBorder="1" applyAlignment="1">
      <alignment horizontal="center" vertical="center"/>
    </xf>
    <xf numFmtId="9" fontId="5" fillId="0" borderId="22" xfId="1" applyFont="1" applyBorder="1" applyAlignment="1">
      <alignment horizontal="center" vertical="center"/>
    </xf>
    <xf numFmtId="0" fontId="5" fillId="0" borderId="24" xfId="0" applyFont="1" applyBorder="1" applyAlignment="1">
      <alignment vertical="center" wrapText="1"/>
    </xf>
    <xf numFmtId="9" fontId="5" fillId="0" borderId="25" xfId="1" applyFont="1" applyBorder="1" applyAlignment="1">
      <alignment horizontal="center" vertical="center"/>
    </xf>
    <xf numFmtId="166" fontId="5" fillId="0" borderId="0" xfId="0" applyNumberFormat="1" applyFont="1"/>
    <xf numFmtId="166" fontId="5" fillId="0" borderId="1" xfId="0" applyNumberFormat="1" applyFont="1" applyBorder="1" applyAlignment="1">
      <alignment horizontal="center" vertical="center"/>
    </xf>
    <xf numFmtId="165" fontId="5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wrapText="1"/>
    </xf>
    <xf numFmtId="3" fontId="5" fillId="0" borderId="9" xfId="0" applyNumberFormat="1" applyFont="1" applyFill="1" applyBorder="1"/>
    <xf numFmtId="3" fontId="5" fillId="0" borderId="13" xfId="0" applyNumberFormat="1" applyFont="1" applyBorder="1"/>
    <xf numFmtId="3" fontId="0" fillId="0" borderId="1" xfId="1" applyNumberFormat="1" applyFont="1" applyBorder="1" applyAlignment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3" fontId="0" fillId="0" borderId="0" xfId="0" applyNumberFormat="1" applyBorder="1"/>
    <xf numFmtId="9" fontId="0" fillId="0" borderId="0" xfId="1" applyFont="1" applyBorder="1" applyAlignment="1">
      <alignment horizontal="center" vertical="center"/>
    </xf>
    <xf numFmtId="3" fontId="0" fillId="0" borderId="0" xfId="1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7" xfId="0" applyFont="1" applyBorder="1" applyAlignment="1">
      <alignment horizontal="left" vertical="center" wrapText="1"/>
    </xf>
    <xf numFmtId="0" fontId="5" fillId="0" borderId="28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166" fontId="5" fillId="0" borderId="20" xfId="0" applyNumberFormat="1" applyFont="1" applyBorder="1" applyAlignment="1">
      <alignment horizontal="center" vertical="center"/>
    </xf>
    <xf numFmtId="166" fontId="5" fillId="0" borderId="29" xfId="0" applyNumberFormat="1" applyFont="1" applyBorder="1" applyAlignment="1">
      <alignment horizontal="center" vertical="center"/>
    </xf>
    <xf numFmtId="166" fontId="5" fillId="0" borderId="21" xfId="0" applyNumberFormat="1" applyFont="1" applyBorder="1" applyAlignment="1">
      <alignment horizontal="center" vertical="center"/>
    </xf>
    <xf numFmtId="166" fontId="5" fillId="0" borderId="30" xfId="0" applyNumberFormat="1" applyFont="1" applyBorder="1" applyAlignment="1">
      <alignment horizontal="center" vertical="center"/>
    </xf>
    <xf numFmtId="165" fontId="5" fillId="0" borderId="31" xfId="0" applyNumberFormat="1" applyFont="1" applyBorder="1" applyAlignment="1">
      <alignment horizontal="center" vertical="center"/>
    </xf>
    <xf numFmtId="165" fontId="5" fillId="0" borderId="32" xfId="0" applyNumberFormat="1" applyFont="1" applyBorder="1" applyAlignment="1">
      <alignment horizontal="center" vertical="center"/>
    </xf>
    <xf numFmtId="165" fontId="5" fillId="0" borderId="20" xfId="0" applyNumberFormat="1" applyFont="1" applyBorder="1" applyAlignment="1">
      <alignment horizontal="center" vertical="center"/>
    </xf>
    <xf numFmtId="165" fontId="5" fillId="0" borderId="29" xfId="0" applyNumberFormat="1" applyFont="1" applyBorder="1" applyAlignment="1">
      <alignment horizontal="center" vertical="center"/>
    </xf>
    <xf numFmtId="165" fontId="5" fillId="0" borderId="21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3" fontId="0" fillId="0" borderId="1" xfId="1" applyNumberFormat="1" applyFont="1" applyBorder="1" applyAlignment="1">
      <alignment horizontal="center" vertical="center"/>
    </xf>
    <xf numFmtId="3" fontId="8" fillId="0" borderId="0" xfId="0" applyNumberFormat="1" applyFont="1"/>
    <xf numFmtId="3" fontId="8" fillId="0" borderId="0" xfId="0" applyNumberFormat="1" applyFont="1" applyAlignment="1">
      <alignment horizontal="center" vertical="center"/>
    </xf>
    <xf numFmtId="3" fontId="8" fillId="0" borderId="0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65" fontId="5" fillId="2" borderId="4" xfId="0" applyNumberFormat="1" applyFont="1" applyFill="1" applyBorder="1" applyAlignment="1">
      <alignment horizontal="center" vertical="center"/>
    </xf>
    <xf numFmtId="165" fontId="5" fillId="2" borderId="14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3" fontId="0" fillId="3" borderId="0" xfId="0" applyNumberFormat="1" applyFill="1"/>
    <xf numFmtId="0" fontId="5" fillId="3" borderId="2" xfId="0" applyFont="1" applyFill="1" applyBorder="1" applyAlignment="1">
      <alignment horizontal="center" vertical="center" wrapText="1"/>
    </xf>
    <xf numFmtId="3" fontId="5" fillId="3" borderId="15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164" fontId="5" fillId="3" borderId="15" xfId="2" applyFont="1" applyFill="1" applyBorder="1" applyAlignment="1">
      <alignment horizontal="center" vertical="center"/>
    </xf>
    <xf numFmtId="165" fontId="5" fillId="3" borderId="15" xfId="0" applyNumberFormat="1" applyFont="1" applyFill="1" applyBorder="1" applyAlignment="1">
      <alignment horizontal="center" vertical="center"/>
    </xf>
    <xf numFmtId="3" fontId="8" fillId="3" borderId="0" xfId="0" applyNumberFormat="1" applyFont="1" applyFill="1" applyAlignment="1">
      <alignment horizontal="center"/>
    </xf>
    <xf numFmtId="168" fontId="0" fillId="3" borderId="0" xfId="0" applyNumberFormat="1" applyFill="1" applyAlignment="1">
      <alignment horizontal="center"/>
    </xf>
    <xf numFmtId="0" fontId="6" fillId="4" borderId="1" xfId="0" applyFont="1" applyFill="1" applyBorder="1" applyAlignment="1">
      <alignment horizontal="center" vertical="center" wrapText="1"/>
    </xf>
    <xf numFmtId="166" fontId="10" fillId="0" borderId="1" xfId="0" applyNumberFormat="1" applyFont="1" applyBorder="1" applyAlignment="1">
      <alignment horizontal="center" vertical="center"/>
    </xf>
    <xf numFmtId="3" fontId="11" fillId="0" borderId="0" xfId="0" applyNumberFormat="1" applyFont="1"/>
    <xf numFmtId="0" fontId="13" fillId="0" borderId="0" xfId="3" applyFont="1"/>
    <xf numFmtId="0" fontId="12" fillId="0" borderId="0" xfId="3"/>
    <xf numFmtId="0" fontId="14" fillId="0" borderId="0" xfId="3" applyFont="1" applyAlignment="1">
      <alignment horizontal="left"/>
    </xf>
    <xf numFmtId="0" fontId="13" fillId="0" borderId="0" xfId="3" applyFont="1" applyAlignment="1">
      <alignment horizontal="right"/>
    </xf>
    <xf numFmtId="3" fontId="15" fillId="0" borderId="0" xfId="3" applyNumberFormat="1" applyFont="1" applyAlignment="1">
      <alignment vertical="center"/>
    </xf>
    <xf numFmtId="3" fontId="16" fillId="0" borderId="0" xfId="3" applyNumberFormat="1" applyFont="1" applyAlignment="1">
      <alignment horizontal="left"/>
    </xf>
    <xf numFmtId="3" fontId="17" fillId="0" borderId="0" xfId="3" applyNumberFormat="1" applyFont="1" applyAlignment="1">
      <alignment vertical="center"/>
    </xf>
    <xf numFmtId="0" fontId="12" fillId="0" borderId="0" xfId="3" applyAlignment="1">
      <alignment horizontal="left"/>
    </xf>
    <xf numFmtId="0" fontId="12" fillId="0" borderId="0" xfId="3" applyProtection="1">
      <protection locked="0"/>
    </xf>
    <xf numFmtId="0" fontId="18" fillId="0" borderId="0" xfId="3" applyFont="1" applyBorder="1" applyProtection="1">
      <protection locked="0" hidden="1"/>
    </xf>
    <xf numFmtId="0" fontId="18" fillId="0" borderId="0" xfId="3" applyFont="1" applyProtection="1">
      <protection locked="0" hidden="1"/>
    </xf>
    <xf numFmtId="0" fontId="20" fillId="0" borderId="0" xfId="3" applyFont="1"/>
    <xf numFmtId="9" fontId="5" fillId="3" borderId="15" xfId="1" applyFont="1" applyFill="1" applyBorder="1" applyAlignment="1">
      <alignment horizontal="center" vertical="center"/>
    </xf>
    <xf numFmtId="165" fontId="5" fillId="4" borderId="15" xfId="0" applyNumberFormat="1" applyFont="1" applyFill="1" applyBorder="1" applyAlignment="1">
      <alignment horizontal="center" vertical="center"/>
    </xf>
    <xf numFmtId="165" fontId="5" fillId="2" borderId="15" xfId="0" applyNumberFormat="1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3" fontId="10" fillId="0" borderId="0" xfId="0" applyNumberFormat="1" applyFont="1"/>
    <xf numFmtId="3" fontId="10" fillId="0" borderId="0" xfId="0" applyNumberFormat="1" applyFont="1" applyAlignment="1">
      <alignment horizontal="center" vertical="center" wrapText="1"/>
    </xf>
    <xf numFmtId="3" fontId="10" fillId="0" borderId="0" xfId="0" applyNumberFormat="1" applyFont="1" applyFill="1"/>
    <xf numFmtId="168" fontId="0" fillId="0" borderId="0" xfId="0" applyNumberFormat="1"/>
    <xf numFmtId="166" fontId="10" fillId="0" borderId="4" xfId="0" applyNumberFormat="1" applyFont="1" applyFill="1" applyBorder="1" applyAlignment="1">
      <alignment horizontal="center" vertical="center"/>
    </xf>
    <xf numFmtId="9" fontId="10" fillId="0" borderId="4" xfId="1" applyFont="1" applyFill="1" applyBorder="1" applyAlignment="1">
      <alignment horizontal="center" vertical="center"/>
    </xf>
    <xf numFmtId="3" fontId="10" fillId="0" borderId="4" xfId="0" applyNumberFormat="1" applyFont="1" applyFill="1" applyBorder="1" applyAlignment="1">
      <alignment horizontal="center" vertical="center" wrapText="1"/>
    </xf>
    <xf numFmtId="164" fontId="10" fillId="0" borderId="4" xfId="2" applyFont="1" applyFill="1" applyBorder="1" applyAlignment="1">
      <alignment horizontal="center" vertical="center"/>
    </xf>
    <xf numFmtId="165" fontId="10" fillId="0" borderId="4" xfId="0" applyNumberFormat="1" applyFont="1" applyFill="1" applyBorder="1" applyAlignment="1">
      <alignment horizontal="center" vertical="center"/>
    </xf>
    <xf numFmtId="3" fontId="10" fillId="0" borderId="0" xfId="0" applyNumberFormat="1" applyFont="1" applyFill="1" applyAlignment="1">
      <alignment horizontal="center"/>
    </xf>
    <xf numFmtId="167" fontId="10" fillId="0" borderId="4" xfId="2" applyNumberFormat="1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left" vertical="center"/>
    </xf>
    <xf numFmtId="0" fontId="10" fillId="0" borderId="35" xfId="0" applyFont="1" applyFill="1" applyBorder="1" applyAlignment="1">
      <alignment horizontal="center" vertical="center" wrapText="1"/>
    </xf>
    <xf numFmtId="9" fontId="10" fillId="0" borderId="35" xfId="1" applyFont="1" applyFill="1" applyBorder="1" applyAlignment="1">
      <alignment horizontal="center" vertical="center"/>
    </xf>
    <xf numFmtId="167" fontId="10" fillId="0" borderId="35" xfId="2" applyNumberFormat="1" applyFont="1" applyFill="1" applyBorder="1" applyAlignment="1">
      <alignment horizontal="center" vertical="center"/>
    </xf>
    <xf numFmtId="164" fontId="10" fillId="0" borderId="35" xfId="2" applyFont="1" applyFill="1" applyBorder="1" applyAlignment="1">
      <alignment horizontal="center" vertical="center"/>
    </xf>
    <xf numFmtId="165" fontId="10" fillId="0" borderId="35" xfId="0" applyNumberFormat="1" applyFont="1" applyFill="1" applyBorder="1" applyAlignment="1">
      <alignment horizontal="center" vertical="center"/>
    </xf>
    <xf numFmtId="166" fontId="10" fillId="0" borderId="1" xfId="0" applyNumberFormat="1" applyFont="1" applyFill="1" applyBorder="1" applyAlignment="1">
      <alignment horizontal="center" vertical="center"/>
    </xf>
    <xf numFmtId="169" fontId="0" fillId="0" borderId="0" xfId="0" applyNumberFormat="1"/>
    <xf numFmtId="170" fontId="10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 wrapText="1"/>
    </xf>
    <xf numFmtId="170" fontId="0" fillId="0" borderId="0" xfId="0" applyNumberFormat="1"/>
    <xf numFmtId="3" fontId="0" fillId="0" borderId="2" xfId="0" applyNumberFormat="1" applyBorder="1"/>
    <xf numFmtId="3" fontId="0" fillId="0" borderId="36" xfId="0" applyNumberFormat="1" applyBorder="1"/>
    <xf numFmtId="3" fontId="10" fillId="0" borderId="1" xfId="0" applyNumberFormat="1" applyFont="1" applyBorder="1" applyAlignment="1">
      <alignment horizontal="center" vertical="center" wrapText="1"/>
    </xf>
    <xf numFmtId="166" fontId="10" fillId="0" borderId="20" xfId="0" applyNumberFormat="1" applyFont="1" applyBorder="1" applyAlignment="1">
      <alignment horizontal="center" vertical="center"/>
    </xf>
    <xf numFmtId="165" fontId="10" fillId="0" borderId="20" xfId="0" applyNumberFormat="1" applyFont="1" applyBorder="1" applyAlignment="1">
      <alignment horizontal="center" vertical="center"/>
    </xf>
    <xf numFmtId="166" fontId="10" fillId="0" borderId="29" xfId="0" applyNumberFormat="1" applyFont="1" applyBorder="1" applyAlignment="1">
      <alignment horizontal="center" vertical="center"/>
    </xf>
    <xf numFmtId="165" fontId="10" fillId="0" borderId="29" xfId="0" applyNumberFormat="1" applyFont="1" applyBorder="1" applyAlignment="1">
      <alignment horizontal="center" vertical="center"/>
    </xf>
    <xf numFmtId="166" fontId="10" fillId="0" borderId="21" xfId="0" applyNumberFormat="1" applyFont="1" applyBorder="1" applyAlignment="1">
      <alignment horizontal="center" vertical="center"/>
    </xf>
    <xf numFmtId="165" fontId="10" fillId="0" borderId="21" xfId="0" applyNumberFormat="1" applyFont="1" applyBorder="1" applyAlignment="1">
      <alignment horizontal="center" vertical="center"/>
    </xf>
    <xf numFmtId="166" fontId="10" fillId="0" borderId="20" xfId="0" applyNumberFormat="1" applyFont="1" applyBorder="1" applyAlignment="1">
      <alignment horizontal="left" vertical="center"/>
    </xf>
    <xf numFmtId="166" fontId="10" fillId="0" borderId="29" xfId="0" applyNumberFormat="1" applyFont="1" applyBorder="1" applyAlignment="1">
      <alignment horizontal="left" vertical="center"/>
    </xf>
    <xf numFmtId="166" fontId="10" fillId="0" borderId="21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 wrapText="1"/>
    </xf>
    <xf numFmtId="3" fontId="0" fillId="0" borderId="0" xfId="0" applyNumberFormat="1" applyAlignment="1">
      <alignment horizontal="left" vertical="center"/>
    </xf>
    <xf numFmtId="3" fontId="0" fillId="0" borderId="0" xfId="0" applyNumberFormat="1" applyAlignment="1">
      <alignment horizontal="left"/>
    </xf>
    <xf numFmtId="166" fontId="10" fillId="0" borderId="0" xfId="0" applyNumberFormat="1" applyFont="1" applyBorder="1" applyAlignment="1">
      <alignment horizontal="left" vertical="center"/>
    </xf>
    <xf numFmtId="171" fontId="0" fillId="0" borderId="0" xfId="0" applyNumberFormat="1"/>
    <xf numFmtId="0" fontId="24" fillId="7" borderId="0" xfId="0" applyFont="1" applyFill="1" applyAlignment="1">
      <alignment horizontal="center" vertical="center" wrapText="1"/>
    </xf>
    <xf numFmtId="0" fontId="24" fillId="7" borderId="37" xfId="0" applyFont="1" applyFill="1" applyBorder="1" applyAlignment="1">
      <alignment horizontal="center" vertical="center" wrapText="1"/>
    </xf>
    <xf numFmtId="0" fontId="25" fillId="0" borderId="0" xfId="0" applyFont="1"/>
    <xf numFmtId="0" fontId="26" fillId="0" borderId="0" xfId="0" applyFont="1" applyAlignment="1">
      <alignment horizontal="justify" vertical="center"/>
    </xf>
    <xf numFmtId="172" fontId="23" fillId="8" borderId="38" xfId="0" applyNumberFormat="1" applyFont="1" applyFill="1" applyBorder="1" applyAlignment="1">
      <alignment horizontal="center" vertical="center"/>
    </xf>
    <xf numFmtId="172" fontId="23" fillId="8" borderId="39" xfId="0" applyNumberFormat="1" applyFont="1" applyFill="1" applyBorder="1" applyAlignment="1">
      <alignment horizontal="center" vertical="center"/>
    </xf>
    <xf numFmtId="0" fontId="23" fillId="9" borderId="38" xfId="0" applyFont="1" applyFill="1" applyBorder="1" applyAlignment="1">
      <alignment horizontal="center" vertical="center"/>
    </xf>
    <xf numFmtId="0" fontId="23" fillId="9" borderId="39" xfId="0" applyFont="1" applyFill="1" applyBorder="1" applyAlignment="1">
      <alignment horizontal="center" vertical="center"/>
    </xf>
    <xf numFmtId="0" fontId="23" fillId="8" borderId="38" xfId="0" applyFont="1" applyFill="1" applyBorder="1" applyAlignment="1">
      <alignment horizontal="center" vertical="center"/>
    </xf>
    <xf numFmtId="0" fontId="23" fillId="8" borderId="39" xfId="0" applyFont="1" applyFill="1" applyBorder="1" applyAlignment="1">
      <alignment horizontal="center" vertical="center"/>
    </xf>
    <xf numFmtId="0" fontId="23" fillId="0" borderId="0" xfId="0" applyFont="1" applyAlignment="1">
      <alignment vertical="center"/>
    </xf>
    <xf numFmtId="3" fontId="28" fillId="0" borderId="0" xfId="0" applyNumberFormat="1" applyFont="1" applyAlignment="1">
      <alignment vertical="center"/>
    </xf>
    <xf numFmtId="3" fontId="23" fillId="0" borderId="0" xfId="0" applyNumberFormat="1" applyFont="1" applyAlignment="1">
      <alignment vertical="center"/>
    </xf>
    <xf numFmtId="9" fontId="23" fillId="0" borderId="0" xfId="1" applyFont="1" applyAlignment="1">
      <alignment vertical="center"/>
    </xf>
    <xf numFmtId="3" fontId="23" fillId="0" borderId="0" xfId="0" applyNumberFormat="1" applyFont="1" applyAlignment="1">
      <alignment horizontal="left" vertical="center"/>
    </xf>
    <xf numFmtId="3" fontId="23" fillId="0" borderId="0" xfId="0" applyNumberFormat="1" applyFont="1" applyAlignment="1">
      <alignment horizontal="left" vertical="center" indent="1"/>
    </xf>
    <xf numFmtId="3" fontId="23" fillId="0" borderId="0" xfId="0" applyNumberFormat="1" applyFont="1" applyAlignment="1">
      <alignment horizontal="left" vertical="center" indent="2"/>
    </xf>
    <xf numFmtId="3" fontId="28" fillId="0" borderId="0" xfId="0" applyNumberFormat="1" applyFont="1" applyAlignment="1">
      <alignment horizontal="left" vertical="center" indent="1"/>
    </xf>
    <xf numFmtId="3" fontId="29" fillId="0" borderId="0" xfId="0" applyNumberFormat="1" applyFont="1" applyAlignment="1">
      <alignment vertical="center"/>
    </xf>
    <xf numFmtId="3" fontId="23" fillId="0" borderId="0" xfId="0" applyNumberFormat="1" applyFont="1" applyAlignment="1">
      <alignment horizontal="right" vertical="center"/>
    </xf>
    <xf numFmtId="3" fontId="28" fillId="0" borderId="0" xfId="0" applyNumberFormat="1" applyFont="1" applyAlignment="1">
      <alignment horizontal="right" vertical="center"/>
    </xf>
    <xf numFmtId="9" fontId="23" fillId="0" borderId="0" xfId="1" applyFont="1" applyAlignment="1">
      <alignment horizontal="right" vertical="center"/>
    </xf>
    <xf numFmtId="168" fontId="23" fillId="0" borderId="0" xfId="0" applyNumberFormat="1" applyFont="1" applyAlignment="1">
      <alignment horizontal="right" vertical="center"/>
    </xf>
    <xf numFmtId="169" fontId="23" fillId="0" borderId="0" xfId="0" applyNumberFormat="1" applyFont="1" applyAlignment="1">
      <alignment horizontal="right" vertical="center"/>
    </xf>
    <xf numFmtId="3" fontId="23" fillId="0" borderId="0" xfId="0" applyNumberFormat="1" applyFont="1"/>
    <xf numFmtId="3" fontId="23" fillId="0" borderId="42" xfId="0" applyNumberFormat="1" applyFont="1" applyBorder="1" applyAlignment="1">
      <alignment horizontal="center"/>
    </xf>
    <xf numFmtId="3" fontId="23" fillId="0" borderId="43" xfId="0" applyNumberFormat="1" applyFont="1" applyBorder="1" applyAlignment="1">
      <alignment horizontal="center"/>
    </xf>
    <xf numFmtId="3" fontId="23" fillId="10" borderId="43" xfId="0" applyNumberFormat="1" applyFont="1" applyFill="1" applyBorder="1" applyAlignment="1">
      <alignment horizontal="center"/>
    </xf>
    <xf numFmtId="3" fontId="23" fillId="0" borderId="0" xfId="0" applyNumberFormat="1" applyFont="1" applyAlignment="1">
      <alignment horizontal="left" vertical="center" indent="3"/>
    </xf>
    <xf numFmtId="3" fontId="29" fillId="0" borderId="0" xfId="0" applyNumberFormat="1" applyFont="1" applyAlignment="1">
      <alignment horizontal="left" vertical="center" indent="2"/>
    </xf>
    <xf numFmtId="3" fontId="28" fillId="0" borderId="0" xfId="0" applyNumberFormat="1" applyFont="1" applyAlignment="1">
      <alignment horizontal="left" vertical="center" indent="3"/>
    </xf>
    <xf numFmtId="0" fontId="28" fillId="0" borderId="44" xfId="0" applyFont="1" applyBorder="1" applyAlignment="1">
      <alignment horizontal="left" vertical="center" indent="1"/>
    </xf>
    <xf numFmtId="166" fontId="23" fillId="0" borderId="1" xfId="0" applyNumberFormat="1" applyFont="1" applyBorder="1" applyAlignment="1">
      <alignment horizontal="center" vertical="center"/>
    </xf>
    <xf numFmtId="170" fontId="23" fillId="0" borderId="1" xfId="0" applyNumberFormat="1" applyFont="1" applyBorder="1" applyAlignment="1">
      <alignment horizontal="center" vertical="center"/>
    </xf>
    <xf numFmtId="0" fontId="28" fillId="0" borderId="0" xfId="0" applyFont="1" applyBorder="1" applyAlignment="1">
      <alignment horizontal="left" vertical="center"/>
    </xf>
    <xf numFmtId="3" fontId="23" fillId="0" borderId="1" xfId="0" applyNumberFormat="1" applyFont="1" applyBorder="1" applyAlignment="1">
      <alignment horizontal="center" vertical="center" wrapText="1"/>
    </xf>
    <xf numFmtId="3" fontId="23" fillId="0" borderId="2" xfId="0" applyNumberFormat="1" applyFont="1" applyBorder="1" applyAlignment="1">
      <alignment horizontal="center" vertical="center" wrapText="1"/>
    </xf>
    <xf numFmtId="0" fontId="23" fillId="0" borderId="40" xfId="0" applyFont="1" applyBorder="1" applyAlignment="1">
      <alignment horizontal="center" vertical="center"/>
    </xf>
    <xf numFmtId="3" fontId="23" fillId="0" borderId="2" xfId="0" applyNumberFormat="1" applyFont="1" applyBorder="1" applyAlignment="1">
      <alignment vertical="center"/>
    </xf>
    <xf numFmtId="3" fontId="23" fillId="0" borderId="36" xfId="0" applyNumberFormat="1" applyFont="1" applyBorder="1" applyAlignment="1">
      <alignment vertical="center"/>
    </xf>
    <xf numFmtId="3" fontId="23" fillId="0" borderId="1" xfId="0" applyNumberFormat="1" applyFont="1" applyBorder="1" applyAlignment="1">
      <alignment horizontal="center" vertical="center"/>
    </xf>
    <xf numFmtId="3" fontId="23" fillId="0" borderId="2" xfId="0" applyNumberFormat="1" applyFont="1" applyBorder="1" applyAlignment="1">
      <alignment horizontal="center" vertical="center"/>
    </xf>
    <xf numFmtId="3" fontId="23" fillId="0" borderId="40" xfId="0" applyNumberFormat="1" applyFont="1" applyBorder="1" applyAlignment="1">
      <alignment horizontal="center" vertical="center"/>
    </xf>
    <xf numFmtId="166" fontId="23" fillId="0" borderId="20" xfId="0" applyNumberFormat="1" applyFont="1" applyBorder="1" applyAlignment="1">
      <alignment horizontal="center" vertical="center"/>
    </xf>
    <xf numFmtId="165" fontId="23" fillId="0" borderId="20" xfId="0" applyNumberFormat="1" applyFont="1" applyBorder="1" applyAlignment="1">
      <alignment horizontal="center" vertical="center"/>
    </xf>
    <xf numFmtId="166" fontId="23" fillId="0" borderId="29" xfId="0" applyNumberFormat="1" applyFont="1" applyBorder="1" applyAlignment="1">
      <alignment horizontal="center" vertical="center"/>
    </xf>
    <xf numFmtId="165" fontId="23" fillId="0" borderId="29" xfId="0" applyNumberFormat="1" applyFont="1" applyBorder="1" applyAlignment="1">
      <alignment horizontal="center" vertical="center"/>
    </xf>
    <xf numFmtId="166" fontId="23" fillId="0" borderId="21" xfId="0" applyNumberFormat="1" applyFont="1" applyBorder="1" applyAlignment="1">
      <alignment horizontal="center" vertical="center"/>
    </xf>
    <xf numFmtId="165" fontId="23" fillId="0" borderId="21" xfId="0" applyNumberFormat="1" applyFont="1" applyBorder="1" applyAlignment="1">
      <alignment horizontal="center" vertical="center"/>
    </xf>
    <xf numFmtId="166" fontId="23" fillId="0" borderId="45" xfId="0" applyNumberFormat="1" applyFont="1" applyBorder="1" applyAlignment="1">
      <alignment horizontal="center" vertical="center"/>
    </xf>
    <xf numFmtId="166" fontId="23" fillId="0" borderId="46" xfId="0" applyNumberFormat="1" applyFont="1" applyBorder="1" applyAlignment="1">
      <alignment horizontal="center" vertical="center"/>
    </xf>
    <xf numFmtId="166" fontId="23" fillId="0" borderId="47" xfId="0" applyNumberFormat="1" applyFont="1" applyBorder="1" applyAlignment="1">
      <alignment horizontal="center" vertical="center"/>
    </xf>
    <xf numFmtId="0" fontId="23" fillId="0" borderId="0" xfId="0" applyFont="1"/>
    <xf numFmtId="0" fontId="28" fillId="0" borderId="1" xfId="0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3" fontId="23" fillId="0" borderId="0" xfId="0" applyNumberFormat="1" applyFont="1" applyFill="1"/>
    <xf numFmtId="0" fontId="23" fillId="0" borderId="4" xfId="0" applyFont="1" applyFill="1" applyBorder="1" applyAlignment="1">
      <alignment horizontal="center" vertical="center" wrapText="1"/>
    </xf>
    <xf numFmtId="9" fontId="23" fillId="0" borderId="4" xfId="1" applyFont="1" applyFill="1" applyBorder="1" applyAlignment="1">
      <alignment horizontal="center" vertical="center"/>
    </xf>
    <xf numFmtId="3" fontId="23" fillId="0" borderId="4" xfId="0" applyNumberFormat="1" applyFont="1" applyFill="1" applyBorder="1" applyAlignment="1">
      <alignment horizontal="center" vertical="center" wrapText="1"/>
    </xf>
    <xf numFmtId="164" fontId="23" fillId="0" borderId="4" xfId="2" applyFont="1" applyFill="1" applyBorder="1" applyAlignment="1">
      <alignment horizontal="center" vertical="center"/>
    </xf>
    <xf numFmtId="165" fontId="23" fillId="0" borderId="4" xfId="0" applyNumberFormat="1" applyFont="1" applyFill="1" applyBorder="1" applyAlignment="1">
      <alignment horizontal="center" vertical="center"/>
    </xf>
    <xf numFmtId="3" fontId="23" fillId="0" borderId="0" xfId="0" applyNumberFormat="1" applyFont="1" applyFill="1" applyAlignment="1">
      <alignment horizontal="center"/>
    </xf>
    <xf numFmtId="166" fontId="23" fillId="0" borderId="4" xfId="0" applyNumberFormat="1" applyFont="1" applyFill="1" applyBorder="1" applyAlignment="1">
      <alignment horizontal="center" vertical="center"/>
    </xf>
    <xf numFmtId="167" fontId="23" fillId="0" borderId="4" xfId="2" applyNumberFormat="1" applyFont="1" applyFill="1" applyBorder="1" applyAlignment="1">
      <alignment horizontal="center" vertical="center"/>
    </xf>
    <xf numFmtId="0" fontId="23" fillId="0" borderId="35" xfId="0" applyFont="1" applyFill="1" applyBorder="1" applyAlignment="1">
      <alignment horizontal="center" vertical="center" wrapText="1"/>
    </xf>
    <xf numFmtId="9" fontId="23" fillId="0" borderId="35" xfId="1" applyFont="1" applyFill="1" applyBorder="1" applyAlignment="1">
      <alignment horizontal="center" vertical="center"/>
    </xf>
    <xf numFmtId="167" fontId="23" fillId="0" borderId="35" xfId="2" applyNumberFormat="1" applyFont="1" applyFill="1" applyBorder="1" applyAlignment="1">
      <alignment horizontal="center" vertical="center"/>
    </xf>
    <xf numFmtId="164" fontId="23" fillId="0" borderId="35" xfId="2" applyFont="1" applyFill="1" applyBorder="1" applyAlignment="1">
      <alignment horizontal="center" vertical="center"/>
    </xf>
    <xf numFmtId="165" fontId="23" fillId="0" borderId="35" xfId="0" applyNumberFormat="1" applyFont="1" applyFill="1" applyBorder="1" applyAlignment="1">
      <alignment horizontal="center" vertical="center"/>
    </xf>
    <xf numFmtId="0" fontId="6" fillId="0" borderId="0" xfId="3" applyFont="1"/>
    <xf numFmtId="0" fontId="5" fillId="0" borderId="0" xfId="3" applyFont="1"/>
    <xf numFmtId="0" fontId="30" fillId="0" borderId="0" xfId="3" applyFont="1" applyAlignment="1">
      <alignment horizontal="left"/>
    </xf>
    <xf numFmtId="0" fontId="6" fillId="0" borderId="0" xfId="3" applyFont="1" applyAlignment="1">
      <alignment horizontal="right"/>
    </xf>
    <xf numFmtId="0" fontId="31" fillId="0" borderId="0" xfId="3" applyFont="1"/>
    <xf numFmtId="3" fontId="32" fillId="0" borderId="0" xfId="3" applyNumberFormat="1" applyFont="1" applyAlignment="1">
      <alignment vertical="center"/>
    </xf>
    <xf numFmtId="3" fontId="27" fillId="0" borderId="0" xfId="3" applyNumberFormat="1" applyFont="1" applyAlignment="1">
      <alignment horizontal="left"/>
    </xf>
    <xf numFmtId="3" fontId="33" fillId="0" borderId="0" xfId="3" applyNumberFormat="1" applyFont="1" applyAlignment="1">
      <alignment vertical="center"/>
    </xf>
    <xf numFmtId="3" fontId="27" fillId="2" borderId="0" xfId="3" applyNumberFormat="1" applyFont="1" applyFill="1" applyAlignment="1">
      <alignment horizontal="left" vertical="center"/>
    </xf>
    <xf numFmtId="3" fontId="27" fillId="2" borderId="0" xfId="3" applyNumberFormat="1" applyFont="1" applyFill="1" applyAlignment="1">
      <alignment horizontal="left"/>
    </xf>
    <xf numFmtId="0" fontId="5" fillId="0" borderId="0" xfId="3" applyFont="1" applyProtection="1">
      <protection locked="0"/>
    </xf>
    <xf numFmtId="0" fontId="34" fillId="0" borderId="0" xfId="3" applyFont="1" applyBorder="1" applyProtection="1">
      <protection locked="0" hidden="1"/>
    </xf>
    <xf numFmtId="0" fontId="34" fillId="0" borderId="0" xfId="3" applyFont="1" applyProtection="1">
      <protection locked="0" hidden="1"/>
    </xf>
    <xf numFmtId="9" fontId="25" fillId="0" borderId="0" xfId="0" applyNumberFormat="1" applyFont="1" applyAlignment="1">
      <alignment horizontal="center"/>
    </xf>
    <xf numFmtId="166" fontId="23" fillId="0" borderId="43" xfId="0" applyNumberFormat="1" applyFont="1" applyFill="1" applyBorder="1" applyAlignment="1">
      <alignment horizontal="center" vertical="center"/>
    </xf>
    <xf numFmtId="166" fontId="23" fillId="0" borderId="14" xfId="0" applyNumberFormat="1" applyFont="1" applyFill="1" applyBorder="1" applyAlignment="1">
      <alignment horizontal="center" vertical="center"/>
    </xf>
    <xf numFmtId="166" fontId="23" fillId="0" borderId="51" xfId="0" applyNumberFormat="1" applyFont="1" applyFill="1" applyBorder="1" applyAlignment="1">
      <alignment horizontal="center" vertical="center"/>
    </xf>
    <xf numFmtId="168" fontId="35" fillId="0" borderId="0" xfId="0" applyNumberFormat="1" applyFont="1" applyAlignment="1">
      <alignment horizontal="right" vertical="center"/>
    </xf>
    <xf numFmtId="0" fontId="23" fillId="0" borderId="0" xfId="0" applyFont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3" fontId="36" fillId="5" borderId="41" xfId="5" applyNumberFormat="1" applyFont="1" applyBorder="1" applyAlignment="1">
      <alignment horizontal="center" vertical="center" wrapText="1"/>
    </xf>
    <xf numFmtId="3" fontId="36" fillId="6" borderId="41" xfId="6" applyNumberFormat="1" applyFont="1" applyBorder="1"/>
    <xf numFmtId="3" fontId="36" fillId="6" borderId="42" xfId="6" applyNumberFormat="1" applyFont="1" applyBorder="1"/>
    <xf numFmtId="3" fontId="36" fillId="6" borderId="43" xfId="6" applyNumberFormat="1" applyFont="1" applyBorder="1"/>
    <xf numFmtId="3" fontId="27" fillId="11" borderId="0" xfId="3" applyNumberFormat="1" applyFont="1" applyFill="1" applyAlignment="1">
      <alignment horizontal="left"/>
    </xf>
    <xf numFmtId="166" fontId="25" fillId="0" borderId="0" xfId="0" applyNumberFormat="1" applyFont="1"/>
    <xf numFmtId="3" fontId="23" fillId="0" borderId="48" xfId="0" applyNumberFormat="1" applyFont="1" applyBorder="1" applyAlignment="1">
      <alignment horizontal="right" vertical="center"/>
    </xf>
    <xf numFmtId="170" fontId="28" fillId="0" borderId="40" xfId="0" applyNumberFormat="1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3" fontId="23" fillId="0" borderId="57" xfId="0" applyNumberFormat="1" applyFont="1" applyBorder="1" applyAlignment="1">
      <alignment horizontal="right" vertical="center"/>
    </xf>
    <xf numFmtId="3" fontId="23" fillId="0" borderId="43" xfId="0" applyNumberFormat="1" applyFont="1" applyBorder="1" applyAlignment="1">
      <alignment horizontal="center" vertical="center"/>
    </xf>
    <xf numFmtId="0" fontId="28" fillId="0" borderId="60" xfId="0" applyFont="1" applyBorder="1" applyAlignment="1">
      <alignment horizontal="center" vertical="center" wrapText="1"/>
    </xf>
    <xf numFmtId="9" fontId="23" fillId="0" borderId="49" xfId="1" applyNumberFormat="1" applyFont="1" applyBorder="1" applyAlignment="1">
      <alignment horizontal="left" vertical="center"/>
    </xf>
    <xf numFmtId="166" fontId="23" fillId="0" borderId="63" xfId="0" applyNumberFormat="1" applyFont="1" applyBorder="1" applyAlignment="1">
      <alignment horizontal="center" vertical="center"/>
    </xf>
    <xf numFmtId="170" fontId="23" fillId="0" borderId="62" xfId="0" applyNumberFormat="1" applyFont="1" applyBorder="1" applyAlignment="1">
      <alignment horizontal="center" vertical="center"/>
    </xf>
    <xf numFmtId="170" fontId="23" fillId="0" borderId="4" xfId="0" applyNumberFormat="1" applyFont="1" applyBorder="1" applyAlignment="1">
      <alignment horizontal="center" vertical="center"/>
    </xf>
    <xf numFmtId="170" fontId="23" fillId="0" borderId="21" xfId="0" applyNumberFormat="1" applyFont="1" applyBorder="1" applyAlignment="1">
      <alignment horizontal="center" vertical="center"/>
    </xf>
    <xf numFmtId="0" fontId="28" fillId="0" borderId="64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3" fontId="23" fillId="0" borderId="69" xfId="0" applyNumberFormat="1" applyFont="1" applyBorder="1" applyAlignment="1">
      <alignment horizontal="right" vertical="center"/>
    </xf>
    <xf numFmtId="3" fontId="23" fillId="0" borderId="70" xfId="0" applyNumberFormat="1" applyFont="1" applyBorder="1" applyAlignment="1">
      <alignment horizontal="center" vertical="center"/>
    </xf>
    <xf numFmtId="170" fontId="23" fillId="0" borderId="71" xfId="0" applyNumberFormat="1" applyFont="1" applyBorder="1" applyAlignment="1">
      <alignment horizontal="center" vertical="center"/>
    </xf>
    <xf numFmtId="166" fontId="23" fillId="0" borderId="72" xfId="0" applyNumberFormat="1" applyFont="1" applyBorder="1" applyAlignment="1">
      <alignment horizontal="center" vertical="center"/>
    </xf>
    <xf numFmtId="170" fontId="23" fillId="0" borderId="73" xfId="0" applyNumberFormat="1" applyFont="1" applyBorder="1" applyAlignment="1">
      <alignment horizontal="center" vertical="center"/>
    </xf>
    <xf numFmtId="166" fontId="23" fillId="0" borderId="62" xfId="0" applyNumberFormat="1" applyFont="1" applyBorder="1" applyAlignment="1">
      <alignment horizontal="center" vertical="center"/>
    </xf>
    <xf numFmtId="0" fontId="23" fillId="0" borderId="58" xfId="0" applyFont="1" applyBorder="1"/>
    <xf numFmtId="0" fontId="23" fillId="0" borderId="52" xfId="0" applyFont="1" applyBorder="1"/>
    <xf numFmtId="0" fontId="23" fillId="0" borderId="55" xfId="0" applyFont="1" applyBorder="1"/>
    <xf numFmtId="0" fontId="23" fillId="0" borderId="56" xfId="0" applyFont="1" applyBorder="1"/>
    <xf numFmtId="9" fontId="23" fillId="0" borderId="74" xfId="1" applyNumberFormat="1" applyFont="1" applyBorder="1" applyAlignment="1">
      <alignment horizontal="left" vertical="center"/>
    </xf>
    <xf numFmtId="3" fontId="27" fillId="0" borderId="0" xfId="3" applyNumberFormat="1" applyFont="1" applyFill="1" applyAlignment="1">
      <alignment horizontal="left" vertical="center"/>
    </xf>
    <xf numFmtId="3" fontId="23" fillId="0" borderId="4" xfId="0" applyNumberFormat="1" applyFont="1" applyBorder="1" applyAlignment="1">
      <alignment horizontal="center" vertical="center"/>
    </xf>
    <xf numFmtId="170" fontId="23" fillId="0" borderId="40" xfId="0" applyNumberFormat="1" applyFont="1" applyBorder="1" applyAlignment="1">
      <alignment horizontal="center" vertical="center"/>
    </xf>
    <xf numFmtId="9" fontId="23" fillId="0" borderId="58" xfId="1" applyNumberFormat="1" applyFont="1" applyBorder="1" applyAlignment="1">
      <alignment horizontal="left" vertical="center"/>
    </xf>
    <xf numFmtId="3" fontId="23" fillId="0" borderId="75" xfId="0" applyNumberFormat="1" applyFont="1" applyBorder="1" applyAlignment="1">
      <alignment horizontal="center" vertical="center"/>
    </xf>
    <xf numFmtId="170" fontId="23" fillId="0" borderId="75" xfId="0" applyNumberFormat="1" applyFont="1" applyBorder="1" applyAlignment="1">
      <alignment horizontal="center" vertical="center"/>
    </xf>
    <xf numFmtId="0" fontId="23" fillId="0" borderId="58" xfId="0" applyFont="1" applyBorder="1" applyAlignment="1">
      <alignment horizontal="right" vertical="center"/>
    </xf>
    <xf numFmtId="0" fontId="23" fillId="0" borderId="55" xfId="0" applyFont="1" applyBorder="1" applyAlignment="1">
      <alignment horizontal="right" vertical="center"/>
    </xf>
    <xf numFmtId="3" fontId="23" fillId="0" borderId="76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8" fillId="0" borderId="60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9" fontId="23" fillId="0" borderId="0" xfId="1" applyFont="1"/>
    <xf numFmtId="165" fontId="23" fillId="0" borderId="2" xfId="0" applyNumberFormat="1" applyFont="1" applyBorder="1" applyAlignment="1">
      <alignment horizontal="center" vertical="center"/>
    </xf>
    <xf numFmtId="0" fontId="23" fillId="0" borderId="48" xfId="0" applyFont="1" applyBorder="1"/>
    <xf numFmtId="0" fontId="23" fillId="0" borderId="49" xfId="0" applyFont="1" applyBorder="1"/>
    <xf numFmtId="0" fontId="23" fillId="0" borderId="50" xfId="0" applyFont="1" applyBorder="1"/>
    <xf numFmtId="3" fontId="37" fillId="0" borderId="0" xfId="0" applyNumberFormat="1" applyFont="1"/>
    <xf numFmtId="168" fontId="25" fillId="0" borderId="0" xfId="0" applyNumberFormat="1" applyFont="1"/>
    <xf numFmtId="9" fontId="5" fillId="0" borderId="0" xfId="1" applyFont="1"/>
    <xf numFmtId="168" fontId="23" fillId="0" borderId="0" xfId="0" applyNumberFormat="1" applyFont="1"/>
    <xf numFmtId="3" fontId="32" fillId="0" borderId="0" xfId="3" applyNumberFormat="1" applyFont="1" applyAlignment="1">
      <alignment horizontal="left" vertical="center"/>
    </xf>
    <xf numFmtId="0" fontId="5" fillId="0" borderId="0" xfId="3" applyFont="1" applyAlignment="1">
      <alignment horizontal="left"/>
    </xf>
    <xf numFmtId="3" fontId="33" fillId="0" borderId="0" xfId="3" applyNumberFormat="1" applyFont="1" applyAlignment="1">
      <alignment horizontal="left" vertical="center"/>
    </xf>
    <xf numFmtId="0" fontId="23" fillId="8" borderId="38" xfId="0" applyFont="1" applyFill="1" applyBorder="1" applyAlignment="1">
      <alignment horizontal="left" vertical="center" wrapText="1"/>
    </xf>
    <xf numFmtId="0" fontId="23" fillId="9" borderId="38" xfId="0" applyFont="1" applyFill="1" applyBorder="1" applyAlignment="1">
      <alignment horizontal="left" vertical="center" wrapText="1" indent="2"/>
    </xf>
    <xf numFmtId="3" fontId="23" fillId="9" borderId="38" xfId="0" applyNumberFormat="1" applyFont="1" applyFill="1" applyBorder="1" applyAlignment="1">
      <alignment horizontal="center" vertical="center"/>
    </xf>
    <xf numFmtId="3" fontId="23" fillId="9" borderId="39" xfId="0" applyNumberFormat="1" applyFont="1" applyFill="1" applyBorder="1" applyAlignment="1">
      <alignment horizontal="center" vertical="center"/>
    </xf>
    <xf numFmtId="172" fontId="23" fillId="8" borderId="38" xfId="0" applyNumberFormat="1" applyFont="1" applyFill="1" applyBorder="1" applyAlignment="1">
      <alignment horizontal="center" vertical="center" wrapText="1"/>
    </xf>
    <xf numFmtId="0" fontId="23" fillId="9" borderId="38" xfId="0" applyFont="1" applyFill="1" applyBorder="1" applyAlignment="1">
      <alignment horizontal="center" vertical="center" wrapText="1"/>
    </xf>
    <xf numFmtId="0" fontId="23" fillId="8" borderId="38" xfId="0" applyFont="1" applyFill="1" applyBorder="1" applyAlignment="1">
      <alignment horizontal="center" vertical="center" wrapText="1"/>
    </xf>
    <xf numFmtId="0" fontId="23" fillId="0" borderId="34" xfId="0" applyFont="1" applyBorder="1"/>
    <xf numFmtId="3" fontId="23" fillId="0" borderId="81" xfId="0" applyNumberFormat="1" applyFont="1" applyBorder="1" applyAlignment="1">
      <alignment horizontal="right" vertical="center"/>
    </xf>
    <xf numFmtId="9" fontId="23" fillId="0" borderId="82" xfId="1" applyNumberFormat="1" applyFont="1" applyBorder="1" applyAlignment="1">
      <alignment horizontal="left" vertical="center"/>
    </xf>
    <xf numFmtId="170" fontId="23" fillId="0" borderId="83" xfId="0" applyNumberFormat="1" applyFont="1" applyBorder="1" applyAlignment="1">
      <alignment horizontal="center" vertical="center"/>
    </xf>
    <xf numFmtId="3" fontId="23" fillId="0" borderId="21" xfId="0" applyNumberFormat="1" applyFont="1" applyBorder="1" applyAlignment="1">
      <alignment horizontal="center" vertical="center"/>
    </xf>
    <xf numFmtId="3" fontId="23" fillId="0" borderId="71" xfId="0" applyNumberFormat="1" applyFont="1" applyBorder="1" applyAlignment="1">
      <alignment horizontal="center" vertical="center"/>
    </xf>
    <xf numFmtId="3" fontId="23" fillId="0" borderId="73" xfId="0" applyNumberFormat="1" applyFont="1" applyBorder="1" applyAlignment="1">
      <alignment horizontal="center" vertical="center"/>
    </xf>
    <xf numFmtId="0" fontId="23" fillId="0" borderId="0" xfId="0" applyFont="1" applyAlignment="1">
      <alignment wrapText="1"/>
    </xf>
    <xf numFmtId="3" fontId="23" fillId="0" borderId="67" xfId="0" applyNumberFormat="1" applyFont="1" applyBorder="1" applyAlignment="1">
      <alignment horizontal="center" vertical="center" wrapText="1"/>
    </xf>
    <xf numFmtId="9" fontId="23" fillId="0" borderId="68" xfId="1" applyFont="1" applyBorder="1" applyAlignment="1">
      <alignment horizontal="center" vertical="center"/>
    </xf>
    <xf numFmtId="3" fontId="23" fillId="0" borderId="48" xfId="0" applyNumberFormat="1" applyFont="1" applyBorder="1" applyAlignment="1">
      <alignment horizontal="left" vertical="center" wrapText="1"/>
    </xf>
    <xf numFmtId="9" fontId="23" fillId="0" borderId="84" xfId="1" applyFont="1" applyBorder="1" applyAlignment="1">
      <alignment horizontal="center" vertical="center"/>
    </xf>
    <xf numFmtId="0" fontId="28" fillId="0" borderId="40" xfId="0" applyFont="1" applyBorder="1" applyAlignment="1">
      <alignment horizontal="center" vertical="center" wrapText="1"/>
    </xf>
    <xf numFmtId="3" fontId="23" fillId="0" borderId="40" xfId="0" applyNumberFormat="1" applyFont="1" applyBorder="1" applyAlignment="1">
      <alignment horizontal="left" vertical="center" wrapText="1"/>
    </xf>
    <xf numFmtId="9" fontId="23" fillId="0" borderId="40" xfId="1" applyFont="1" applyBorder="1" applyAlignment="1">
      <alignment horizontal="center" vertical="center"/>
    </xf>
    <xf numFmtId="3" fontId="23" fillId="0" borderId="40" xfId="0" applyNumberFormat="1" applyFont="1" applyBorder="1" applyAlignment="1">
      <alignment horizontal="center" vertical="center" wrapText="1"/>
    </xf>
    <xf numFmtId="0" fontId="23" fillId="0" borderId="40" xfId="0" applyFont="1" applyBorder="1"/>
    <xf numFmtId="0" fontId="28" fillId="0" borderId="0" xfId="0" applyFont="1" applyBorder="1" applyAlignment="1">
      <alignment horizontal="center" vertical="center" wrapText="1"/>
    </xf>
    <xf numFmtId="9" fontId="23" fillId="0" borderId="0" xfId="1" applyFont="1" applyBorder="1" applyAlignment="1">
      <alignment horizontal="center" vertical="center"/>
    </xf>
    <xf numFmtId="0" fontId="23" fillId="0" borderId="0" xfId="0" applyFont="1" applyBorder="1"/>
    <xf numFmtId="3" fontId="23" fillId="0" borderId="41" xfId="0" applyNumberFormat="1" applyFont="1" applyBorder="1" applyAlignment="1">
      <alignment horizontal="left" vertical="center" wrapText="1"/>
    </xf>
    <xf numFmtId="3" fontId="23" fillId="0" borderId="85" xfId="0" applyNumberFormat="1" applyFont="1" applyBorder="1" applyAlignment="1">
      <alignment horizontal="left" vertical="center" wrapText="1"/>
    </xf>
    <xf numFmtId="3" fontId="23" fillId="0" borderId="57" xfId="0" applyNumberFormat="1" applyFont="1" applyBorder="1" applyAlignment="1">
      <alignment horizontal="left" vertical="center" wrapText="1"/>
    </xf>
    <xf numFmtId="49" fontId="39" fillId="0" borderId="0" xfId="0" applyNumberFormat="1" applyFont="1"/>
    <xf numFmtId="173" fontId="30" fillId="0" borderId="0" xfId="1" applyNumberFormat="1" applyFont="1" applyAlignment="1">
      <alignment horizontal="left"/>
    </xf>
    <xf numFmtId="9" fontId="23" fillId="9" borderId="38" xfId="0" applyNumberFormat="1" applyFont="1" applyFill="1" applyBorder="1" applyAlignment="1">
      <alignment horizontal="center" vertical="center"/>
    </xf>
    <xf numFmtId="9" fontId="23" fillId="9" borderId="39" xfId="0" applyNumberFormat="1" applyFont="1" applyFill="1" applyBorder="1" applyAlignment="1">
      <alignment horizontal="center" vertical="center"/>
    </xf>
    <xf numFmtId="172" fontId="23" fillId="12" borderId="38" xfId="0" applyNumberFormat="1" applyFont="1" applyFill="1" applyBorder="1" applyAlignment="1">
      <alignment horizontal="center" vertical="center" wrapText="1"/>
    </xf>
    <xf numFmtId="0" fontId="23" fillId="12" borderId="38" xfId="0" applyFont="1" applyFill="1" applyBorder="1" applyAlignment="1">
      <alignment horizontal="center" vertical="center" wrapText="1"/>
    </xf>
    <xf numFmtId="0" fontId="5" fillId="0" borderId="0" xfId="0" applyFont="1" applyBorder="1"/>
    <xf numFmtId="0" fontId="23" fillId="12" borderId="86" xfId="0" applyFont="1" applyFill="1" applyBorder="1" applyAlignment="1">
      <alignment horizontal="center" vertical="center" wrapText="1"/>
    </xf>
    <xf numFmtId="0" fontId="5" fillId="0" borderId="93" xfId="0" applyFont="1" applyBorder="1"/>
    <xf numFmtId="0" fontId="23" fillId="9" borderId="96" xfId="0" applyFont="1" applyFill="1" applyBorder="1" applyAlignment="1">
      <alignment horizontal="center" vertical="center" wrapText="1"/>
    </xf>
    <xf numFmtId="0" fontId="5" fillId="0" borderId="55" xfId="0" applyFont="1" applyBorder="1"/>
    <xf numFmtId="0" fontId="23" fillId="12" borderId="56" xfId="0" applyFont="1" applyFill="1" applyBorder="1" applyAlignment="1">
      <alignment horizontal="center" vertical="center" wrapText="1"/>
    </xf>
    <xf numFmtId="16" fontId="44" fillId="7" borderId="37" xfId="0" applyNumberFormat="1" applyFont="1" applyFill="1" applyBorder="1" applyAlignment="1">
      <alignment horizontal="center" vertical="center" wrapText="1"/>
    </xf>
    <xf numFmtId="16" fontId="44" fillId="7" borderId="93" xfId="0" applyNumberFormat="1" applyFont="1" applyFill="1" applyBorder="1" applyAlignment="1">
      <alignment horizontal="center" vertical="center" wrapText="1"/>
    </xf>
    <xf numFmtId="3" fontId="23" fillId="0" borderId="41" xfId="0" applyNumberFormat="1" applyFont="1" applyBorder="1" applyAlignment="1">
      <alignment horizontal="center" vertical="center" wrapText="1"/>
    </xf>
    <xf numFmtId="3" fontId="23" fillId="0" borderId="40" xfId="0" applyNumberFormat="1" applyFont="1" applyBorder="1" applyAlignment="1">
      <alignment horizontal="center" vertical="center" wrapText="1"/>
    </xf>
    <xf numFmtId="9" fontId="23" fillId="0" borderId="40" xfId="1" applyFont="1" applyBorder="1" applyAlignment="1">
      <alignment horizontal="center" vertical="center"/>
    </xf>
    <xf numFmtId="0" fontId="23" fillId="0" borderId="41" xfId="0" applyFont="1" applyBorder="1" applyAlignment="1">
      <alignment horizontal="center" vertical="center" wrapText="1"/>
    </xf>
    <xf numFmtId="0" fontId="23" fillId="8" borderId="94" xfId="0" applyFont="1" applyFill="1" applyBorder="1" applyAlignment="1">
      <alignment horizontal="justify" vertical="center" wrapText="1"/>
    </xf>
    <xf numFmtId="0" fontId="23" fillId="9" borderId="94" xfId="0" applyFont="1" applyFill="1" applyBorder="1" applyAlignment="1">
      <alignment horizontal="justify" vertical="center" wrapText="1"/>
    </xf>
    <xf numFmtId="0" fontId="23" fillId="9" borderId="95" xfId="0" applyFont="1" applyFill="1" applyBorder="1" applyAlignment="1">
      <alignment horizontal="justify" vertical="center" wrapText="1"/>
    </xf>
    <xf numFmtId="3" fontId="23" fillId="0" borderId="65" xfId="0" applyNumberFormat="1" applyFont="1" applyBorder="1" applyAlignment="1">
      <alignment horizontal="right" vertical="center"/>
    </xf>
    <xf numFmtId="3" fontId="23" fillId="0" borderId="66" xfId="0" applyNumberFormat="1" applyFont="1" applyBorder="1" applyAlignment="1">
      <alignment horizontal="center" vertical="center"/>
    </xf>
    <xf numFmtId="9" fontId="23" fillId="0" borderId="40" xfId="1" applyNumberFormat="1" applyFont="1" applyBorder="1" applyAlignment="1">
      <alignment horizontal="center" vertical="center"/>
    </xf>
    <xf numFmtId="9" fontId="30" fillId="0" borderId="0" xfId="3" applyNumberFormat="1" applyFont="1" applyAlignment="1">
      <alignment horizontal="left"/>
    </xf>
    <xf numFmtId="9" fontId="30" fillId="0" borderId="0" xfId="1" applyFont="1" applyAlignment="1">
      <alignment horizontal="left"/>
    </xf>
    <xf numFmtId="3" fontId="45" fillId="0" borderId="0" xfId="3" applyNumberFormat="1" applyFont="1" applyAlignment="1">
      <alignment vertical="center"/>
    </xf>
    <xf numFmtId="0" fontId="23" fillId="0" borderId="40" xfId="0" applyFont="1" applyBorder="1" applyAlignment="1">
      <alignment horizontal="center" vertical="center" wrapText="1"/>
    </xf>
    <xf numFmtId="174" fontId="23" fillId="0" borderId="41" xfId="0" applyNumberFormat="1" applyFont="1" applyBorder="1" applyAlignment="1">
      <alignment horizontal="center" vertical="center" wrapText="1"/>
    </xf>
    <xf numFmtId="174" fontId="23" fillId="0" borderId="50" xfId="0" applyNumberFormat="1" applyFont="1" applyBorder="1" applyAlignment="1">
      <alignment horizontal="center" vertical="center"/>
    </xf>
    <xf numFmtId="174" fontId="0" fillId="0" borderId="0" xfId="0" applyNumberFormat="1"/>
    <xf numFmtId="174" fontId="28" fillId="0" borderId="40" xfId="0" applyNumberFormat="1" applyFont="1" applyBorder="1" applyAlignment="1">
      <alignment horizontal="center" vertical="center" wrapText="1"/>
    </xf>
    <xf numFmtId="174" fontId="23" fillId="0" borderId="40" xfId="0" applyNumberFormat="1" applyFont="1" applyBorder="1" applyAlignment="1">
      <alignment horizontal="center" vertical="center" wrapText="1"/>
    </xf>
    <xf numFmtId="3" fontId="46" fillId="0" borderId="0" xfId="3" applyNumberFormat="1" applyFont="1" applyFill="1" applyAlignment="1">
      <alignment horizontal="left"/>
    </xf>
    <xf numFmtId="3" fontId="46" fillId="0" borderId="0" xfId="3" applyNumberFormat="1" applyFont="1" applyFill="1" applyAlignment="1">
      <alignment vertical="center"/>
    </xf>
    <xf numFmtId="0" fontId="5" fillId="0" borderId="0" xfId="3" applyFont="1" applyFill="1"/>
    <xf numFmtId="0" fontId="46" fillId="0" borderId="0" xfId="3" applyFont="1" applyFill="1"/>
    <xf numFmtId="3" fontId="46" fillId="0" borderId="0" xfId="3" applyNumberFormat="1" applyFont="1" applyAlignment="1">
      <alignment vertical="center"/>
    </xf>
    <xf numFmtId="0" fontId="46" fillId="0" borderId="0" xfId="3" applyFont="1"/>
    <xf numFmtId="3" fontId="46" fillId="0" borderId="0" xfId="3" applyNumberFormat="1" applyFont="1" applyAlignment="1">
      <alignment horizontal="left"/>
    </xf>
    <xf numFmtId="0" fontId="47" fillId="0" borderId="0" xfId="3" applyFont="1" applyAlignment="1">
      <alignment horizontal="right"/>
    </xf>
    <xf numFmtId="3" fontId="46" fillId="0" borderId="0" xfId="3" applyNumberFormat="1" applyFont="1" applyFill="1" applyAlignment="1">
      <alignment horizontal="left" vertical="center"/>
    </xf>
    <xf numFmtId="3" fontId="45" fillId="0" borderId="0" xfId="3" applyNumberFormat="1" applyFont="1" applyAlignment="1">
      <alignment horizontal="left" vertical="center"/>
    </xf>
    <xf numFmtId="173" fontId="30" fillId="0" borderId="0" xfId="1" applyNumberFormat="1" applyFont="1" applyFill="1" applyAlignment="1">
      <alignment horizontal="left"/>
    </xf>
    <xf numFmtId="173" fontId="31" fillId="0" borderId="0" xfId="3" applyNumberFormat="1" applyFont="1" applyFill="1"/>
    <xf numFmtId="173" fontId="5" fillId="0" borderId="0" xfId="3" applyNumberFormat="1" applyFont="1" applyFill="1"/>
    <xf numFmtId="173" fontId="27" fillId="0" borderId="0" xfId="3" applyNumberFormat="1" applyFont="1" applyFill="1" applyAlignment="1">
      <alignment horizontal="left"/>
    </xf>
    <xf numFmtId="0" fontId="31" fillId="0" borderId="0" xfId="3" applyFont="1" applyFill="1"/>
    <xf numFmtId="3" fontId="23" fillId="0" borderId="49" xfId="0" applyNumberFormat="1" applyFont="1" applyBorder="1" applyAlignment="1">
      <alignment horizontal="right" vertical="center"/>
    </xf>
    <xf numFmtId="3" fontId="23" fillId="0" borderId="98" xfId="0" applyNumberFormat="1" applyFont="1" applyBorder="1" applyAlignment="1">
      <alignment horizontal="right" vertical="center"/>
    </xf>
    <xf numFmtId="3" fontId="23" fillId="0" borderId="99" xfId="0" applyNumberFormat="1" applyFont="1" applyBorder="1" applyAlignment="1">
      <alignment horizontal="center" vertical="center"/>
    </xf>
    <xf numFmtId="9" fontId="46" fillId="0" borderId="0" xfId="1" applyFont="1" applyFill="1" applyAlignment="1">
      <alignment horizontal="left"/>
    </xf>
    <xf numFmtId="3" fontId="48" fillId="10" borderId="0" xfId="3" applyNumberFormat="1" applyFont="1" applyFill="1" applyAlignment="1">
      <alignment horizontal="left" vertical="center"/>
    </xf>
    <xf numFmtId="3" fontId="30" fillId="2" borderId="0" xfId="3" applyNumberFormat="1" applyFont="1" applyFill="1" applyAlignment="1">
      <alignment horizontal="left"/>
    </xf>
    <xf numFmtId="3" fontId="43" fillId="10" borderId="0" xfId="3" applyNumberFormat="1" applyFont="1" applyFill="1" applyAlignment="1">
      <alignment horizontal="left" vertical="center"/>
    </xf>
    <xf numFmtId="3" fontId="48" fillId="10" borderId="0" xfId="3" applyNumberFormat="1" applyFont="1" applyFill="1" applyAlignment="1">
      <alignment vertical="center"/>
    </xf>
    <xf numFmtId="3" fontId="49" fillId="3" borderId="0" xfId="3" applyNumberFormat="1" applyFont="1" applyFill="1" applyAlignment="1">
      <alignment horizontal="left" vertical="center"/>
    </xf>
    <xf numFmtId="3" fontId="50" fillId="3" borderId="0" xfId="3" applyNumberFormat="1" applyFont="1" applyFill="1" applyAlignment="1">
      <alignment horizontal="left" vertical="center"/>
    </xf>
    <xf numFmtId="3" fontId="30" fillId="2" borderId="0" xfId="3" applyNumberFormat="1" applyFont="1" applyFill="1" applyAlignment="1">
      <alignment horizontal="left" vertical="center"/>
    </xf>
    <xf numFmtId="0" fontId="5" fillId="0" borderId="100" xfId="3" applyFont="1" applyBorder="1"/>
    <xf numFmtId="0" fontId="54" fillId="0" borderId="101" xfId="3" applyFont="1" applyBorder="1"/>
    <xf numFmtId="0" fontId="4" fillId="0" borderId="101" xfId="3" applyFont="1" applyBorder="1"/>
    <xf numFmtId="0" fontId="51" fillId="0" borderId="101" xfId="3" applyFont="1" applyBorder="1"/>
    <xf numFmtId="0" fontId="5" fillId="0" borderId="102" xfId="3" applyFont="1" applyBorder="1"/>
    <xf numFmtId="0" fontId="5" fillId="0" borderId="103" xfId="3" applyFont="1" applyBorder="1"/>
    <xf numFmtId="0" fontId="4" fillId="0" borderId="0" xfId="3" applyFont="1" applyBorder="1"/>
    <xf numFmtId="0" fontId="51" fillId="0" borderId="0" xfId="3" applyFont="1" applyBorder="1"/>
    <xf numFmtId="0" fontId="5" fillId="0" borderId="104" xfId="3" applyFont="1" applyBorder="1"/>
    <xf numFmtId="3" fontId="52" fillId="2" borderId="0" xfId="3" applyNumberFormat="1" applyFont="1" applyFill="1" applyBorder="1" applyAlignment="1">
      <alignment horizontal="left"/>
    </xf>
    <xf numFmtId="0" fontId="4" fillId="0" borderId="0" xfId="3" applyFont="1" applyBorder="1" applyAlignment="1">
      <alignment horizontal="left" vertical="center"/>
    </xf>
    <xf numFmtId="3" fontId="25" fillId="11" borderId="0" xfId="3" applyNumberFormat="1" applyFont="1" applyFill="1" applyBorder="1" applyAlignment="1">
      <alignment horizontal="left"/>
    </xf>
    <xf numFmtId="0" fontId="5" fillId="0" borderId="105" xfId="3" applyFont="1" applyBorder="1"/>
    <xf numFmtId="0" fontId="5" fillId="0" borderId="106" xfId="3" applyFont="1" applyBorder="1"/>
    <xf numFmtId="0" fontId="5" fillId="0" borderId="107" xfId="3" applyFont="1" applyBorder="1"/>
    <xf numFmtId="3" fontId="53" fillId="10" borderId="0" xfId="3" applyNumberFormat="1" applyFont="1" applyFill="1" applyBorder="1" applyAlignment="1">
      <alignment vertical="center"/>
    </xf>
    <xf numFmtId="3" fontId="55" fillId="0" borderId="0" xfId="3" applyNumberFormat="1" applyFont="1" applyFill="1" applyAlignment="1">
      <alignment horizontal="left" vertical="center"/>
    </xf>
    <xf numFmtId="3" fontId="30" fillId="0" borderId="0" xfId="3" applyNumberFormat="1" applyFont="1" applyAlignment="1">
      <alignment vertical="center"/>
    </xf>
    <xf numFmtId="0" fontId="42" fillId="0" borderId="100" xfId="3" applyFont="1" applyBorder="1" applyAlignment="1">
      <alignment horizontal="right" vertical="center" indent="1"/>
    </xf>
    <xf numFmtId="0" fontId="42" fillId="0" borderId="105" xfId="3" applyFont="1" applyBorder="1" applyAlignment="1">
      <alignment horizontal="right" vertical="center" indent="1"/>
    </xf>
    <xf numFmtId="173" fontId="43" fillId="0" borderId="102" xfId="1" applyNumberFormat="1" applyFont="1" applyBorder="1" applyAlignment="1">
      <alignment horizontal="left" vertical="center"/>
    </xf>
    <xf numFmtId="173" fontId="43" fillId="0" borderId="107" xfId="1" applyNumberFormat="1" applyFont="1" applyBorder="1" applyAlignment="1">
      <alignment horizontal="left" vertical="center"/>
    </xf>
    <xf numFmtId="165" fontId="5" fillId="3" borderId="4" xfId="0" applyNumberFormat="1" applyFont="1" applyFill="1" applyBorder="1" applyAlignment="1">
      <alignment horizontal="center" vertical="center"/>
    </xf>
    <xf numFmtId="165" fontId="5" fillId="3" borderId="14" xfId="0" applyNumberFormat="1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3" fontId="0" fillId="0" borderId="1" xfId="1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9" fontId="5" fillId="3" borderId="33" xfId="1" applyFont="1" applyFill="1" applyBorder="1" applyAlignment="1">
      <alignment horizontal="center" vertical="center"/>
    </xf>
    <xf numFmtId="9" fontId="5" fillId="3" borderId="14" xfId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9" fontId="5" fillId="0" borderId="1" xfId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3" fontId="5" fillId="3" borderId="4" xfId="0" applyNumberFormat="1" applyFont="1" applyFill="1" applyBorder="1" applyAlignment="1">
      <alignment horizontal="center" vertical="center" wrapText="1"/>
    </xf>
    <xf numFmtId="3" fontId="5" fillId="3" borderId="15" xfId="0" applyNumberFormat="1" applyFont="1" applyFill="1" applyBorder="1" applyAlignment="1">
      <alignment horizontal="center" vertical="center" wrapText="1"/>
    </xf>
    <xf numFmtId="9" fontId="5" fillId="3" borderId="4" xfId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167" fontId="5" fillId="3" borderId="4" xfId="2" applyNumberFormat="1" applyFont="1" applyFill="1" applyBorder="1" applyAlignment="1">
      <alignment horizontal="center" vertical="center"/>
    </xf>
    <xf numFmtId="167" fontId="5" fillId="3" borderId="27" xfId="2" applyNumberFormat="1" applyFont="1" applyFill="1" applyBorder="1" applyAlignment="1">
      <alignment horizontal="center" vertical="center"/>
    </xf>
    <xf numFmtId="165" fontId="5" fillId="3" borderId="27" xfId="0" applyNumberFormat="1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 wrapText="1"/>
    </xf>
    <xf numFmtId="167" fontId="5" fillId="3" borderId="15" xfId="2" applyNumberFormat="1" applyFont="1" applyFill="1" applyBorder="1" applyAlignment="1">
      <alignment horizontal="center" vertical="center"/>
    </xf>
    <xf numFmtId="167" fontId="5" fillId="3" borderId="14" xfId="2" applyNumberFormat="1" applyFont="1" applyFill="1" applyBorder="1" applyAlignment="1">
      <alignment horizontal="center" vertical="center"/>
    </xf>
    <xf numFmtId="165" fontId="5" fillId="3" borderId="15" xfId="0" applyNumberFormat="1" applyFont="1" applyFill="1" applyBorder="1" applyAlignment="1">
      <alignment horizontal="center" vertical="center"/>
    </xf>
    <xf numFmtId="9" fontId="5" fillId="3" borderId="27" xfId="1" applyFont="1" applyFill="1" applyBorder="1" applyAlignment="1">
      <alignment horizontal="center" vertical="center"/>
    </xf>
    <xf numFmtId="164" fontId="5" fillId="3" borderId="4" xfId="2" applyFont="1" applyFill="1" applyBorder="1" applyAlignment="1">
      <alignment horizontal="center" vertical="center"/>
    </xf>
    <xf numFmtId="164" fontId="5" fillId="3" borderId="14" xfId="2" applyFont="1" applyFill="1" applyBorder="1" applyAlignment="1">
      <alignment horizontal="center" vertical="center"/>
    </xf>
    <xf numFmtId="164" fontId="5" fillId="3" borderId="27" xfId="2" applyFont="1" applyFill="1" applyBorder="1" applyAlignment="1">
      <alignment horizontal="center" vertical="center"/>
    </xf>
    <xf numFmtId="164" fontId="5" fillId="3" borderId="15" xfId="2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65" fontId="5" fillId="3" borderId="33" xfId="0" applyNumberFormat="1" applyFont="1" applyFill="1" applyBorder="1" applyAlignment="1">
      <alignment horizontal="center" vertical="center"/>
    </xf>
    <xf numFmtId="165" fontId="5" fillId="4" borderId="4" xfId="0" applyNumberFormat="1" applyFont="1" applyFill="1" applyBorder="1" applyAlignment="1">
      <alignment horizontal="center" vertical="center"/>
    </xf>
    <xf numFmtId="165" fontId="5" fillId="4" borderId="14" xfId="0" applyNumberFormat="1" applyFont="1" applyFill="1" applyBorder="1" applyAlignment="1">
      <alignment horizontal="center" vertical="center"/>
    </xf>
    <xf numFmtId="0" fontId="5" fillId="0" borderId="16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3" xfId="0" applyFont="1" applyBorder="1" applyAlignment="1">
      <alignment horizontal="left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26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3" fontId="5" fillId="0" borderId="13" xfId="0" applyNumberFormat="1" applyFont="1" applyBorder="1" applyAlignment="1">
      <alignment horizontal="center" vertical="center" wrapText="1"/>
    </xf>
    <xf numFmtId="165" fontId="5" fillId="0" borderId="4" xfId="0" applyNumberFormat="1" applyFont="1" applyBorder="1" applyAlignment="1">
      <alignment horizontal="center" vertical="center"/>
    </xf>
    <xf numFmtId="165" fontId="5" fillId="0" borderId="14" xfId="0" applyNumberFormat="1" applyFont="1" applyBorder="1" applyAlignment="1">
      <alignment horizontal="center" vertical="center"/>
    </xf>
    <xf numFmtId="165" fontId="5" fillId="0" borderId="27" xfId="0" applyNumberFormat="1" applyFont="1" applyBorder="1" applyAlignment="1">
      <alignment horizontal="center" vertical="center"/>
    </xf>
    <xf numFmtId="165" fontId="5" fillId="0" borderId="15" xfId="0" applyNumberFormat="1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3" fontId="0" fillId="0" borderId="0" xfId="0" applyNumberFormat="1" applyAlignment="1">
      <alignment horizontal="center" vertical="center"/>
    </xf>
    <xf numFmtId="3" fontId="29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 wrapText="1"/>
    </xf>
    <xf numFmtId="0" fontId="28" fillId="0" borderId="44" xfId="0" applyFont="1" applyBorder="1" applyAlignment="1">
      <alignment horizontal="left" vertical="center"/>
    </xf>
    <xf numFmtId="0" fontId="23" fillId="0" borderId="41" xfId="0" applyFont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 wrapText="1"/>
    </xf>
    <xf numFmtId="0" fontId="23" fillId="0" borderId="52" xfId="0" applyFont="1" applyBorder="1" applyAlignment="1">
      <alignment horizontal="center" vertical="center"/>
    </xf>
    <xf numFmtId="0" fontId="23" fillId="0" borderId="56" xfId="0" applyFont="1" applyBorder="1" applyAlignment="1">
      <alignment horizontal="center" vertical="center"/>
    </xf>
    <xf numFmtId="0" fontId="28" fillId="0" borderId="77" xfId="0" applyFont="1" applyBorder="1" applyAlignment="1">
      <alignment horizontal="center" vertical="center" wrapText="1"/>
    </xf>
    <xf numFmtId="0" fontId="28" fillId="0" borderId="78" xfId="0" applyFont="1" applyBorder="1" applyAlignment="1">
      <alignment horizontal="center" vertical="center" wrapText="1"/>
    </xf>
    <xf numFmtId="3" fontId="23" fillId="0" borderId="65" xfId="0" applyNumberFormat="1" applyFont="1" applyBorder="1" applyAlignment="1">
      <alignment horizontal="right" vertical="center"/>
    </xf>
    <xf numFmtId="3" fontId="23" fillId="0" borderId="67" xfId="0" applyNumberFormat="1" applyFont="1" applyBorder="1" applyAlignment="1">
      <alignment horizontal="right" vertical="center"/>
    </xf>
    <xf numFmtId="3" fontId="23" fillId="0" borderId="66" xfId="0" applyNumberFormat="1" applyFont="1" applyBorder="1" applyAlignment="1">
      <alignment horizontal="center" vertical="center"/>
    </xf>
    <xf numFmtId="3" fontId="23" fillId="0" borderId="68" xfId="0" applyNumberFormat="1" applyFont="1" applyBorder="1" applyAlignment="1">
      <alignment horizontal="center" vertical="center"/>
    </xf>
    <xf numFmtId="3" fontId="23" fillId="0" borderId="57" xfId="0" applyNumberFormat="1" applyFont="1" applyBorder="1" applyAlignment="1">
      <alignment horizontal="center" vertical="center" wrapText="1"/>
    </xf>
    <xf numFmtId="3" fontId="23" fillId="0" borderId="97" xfId="0" applyNumberFormat="1" applyFont="1" applyBorder="1" applyAlignment="1">
      <alignment horizontal="center" vertical="center" wrapText="1"/>
    </xf>
    <xf numFmtId="3" fontId="23" fillId="0" borderId="41" xfId="0" applyNumberFormat="1" applyFont="1" applyBorder="1" applyAlignment="1">
      <alignment horizontal="center" vertical="center" wrapText="1"/>
    </xf>
    <xf numFmtId="3" fontId="23" fillId="0" borderId="42" xfId="0" applyNumberFormat="1" applyFont="1" applyBorder="1" applyAlignment="1">
      <alignment horizontal="center" vertical="center" wrapText="1"/>
    </xf>
    <xf numFmtId="3" fontId="23" fillId="0" borderId="43" xfId="0" applyNumberFormat="1" applyFont="1" applyBorder="1" applyAlignment="1">
      <alignment horizontal="center" vertical="center" wrapText="1"/>
    </xf>
    <xf numFmtId="166" fontId="23" fillId="0" borderId="41" xfId="0" applyNumberFormat="1" applyFont="1" applyBorder="1" applyAlignment="1">
      <alignment horizontal="center" vertical="center"/>
    </xf>
    <xf numFmtId="166" fontId="23" fillId="0" borderId="42" xfId="0" applyNumberFormat="1" applyFont="1" applyBorder="1" applyAlignment="1">
      <alignment horizontal="center" vertical="center"/>
    </xf>
    <xf numFmtId="166" fontId="23" fillId="0" borderId="57" xfId="0" applyNumberFormat="1" applyFont="1" applyBorder="1" applyAlignment="1">
      <alignment horizontal="center" vertical="center"/>
    </xf>
    <xf numFmtId="166" fontId="23" fillId="0" borderId="97" xfId="0" applyNumberFormat="1" applyFont="1" applyBorder="1" applyAlignment="1">
      <alignment horizontal="center" vertical="center"/>
    </xf>
    <xf numFmtId="0" fontId="28" fillId="0" borderId="34" xfId="0" applyFont="1" applyBorder="1" applyAlignment="1">
      <alignment horizontal="center" vertical="center" wrapText="1"/>
    </xf>
    <xf numFmtId="3" fontId="23" fillId="0" borderId="79" xfId="0" applyNumberFormat="1" applyFont="1" applyBorder="1" applyAlignment="1">
      <alignment horizontal="right" vertical="center"/>
    </xf>
    <xf numFmtId="3" fontId="23" fillId="0" borderId="80" xfId="0" applyNumberFormat="1" applyFont="1" applyBorder="1" applyAlignment="1">
      <alignment horizontal="center" vertical="center"/>
    </xf>
    <xf numFmtId="0" fontId="28" fillId="0" borderId="59" xfId="0" applyFont="1" applyBorder="1" applyAlignment="1">
      <alignment horizontal="center" vertical="center" wrapText="1"/>
    </xf>
    <xf numFmtId="0" fontId="28" fillId="0" borderId="60" xfId="0" applyFont="1" applyBorder="1" applyAlignment="1">
      <alignment horizontal="center" vertical="center" wrapText="1"/>
    </xf>
    <xf numFmtId="0" fontId="28" fillId="0" borderId="48" xfId="0" applyFont="1" applyBorder="1" applyAlignment="1">
      <alignment horizontal="right" vertical="center"/>
    </xf>
    <xf numFmtId="0" fontId="28" fillId="0" borderId="49" xfId="0" applyFont="1" applyBorder="1" applyAlignment="1">
      <alignment horizontal="right" vertical="center"/>
    </xf>
    <xf numFmtId="0" fontId="28" fillId="0" borderId="50" xfId="0" applyFont="1" applyBorder="1" applyAlignment="1">
      <alignment horizontal="right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center" wrapText="1"/>
    </xf>
    <xf numFmtId="3" fontId="23" fillId="0" borderId="40" xfId="0" applyNumberFormat="1" applyFont="1" applyBorder="1" applyAlignment="1">
      <alignment horizontal="center" vertical="center" wrapText="1"/>
    </xf>
    <xf numFmtId="9" fontId="23" fillId="0" borderId="40" xfId="1" applyFont="1" applyBorder="1" applyAlignment="1">
      <alignment horizontal="center" vertical="center"/>
    </xf>
    <xf numFmtId="3" fontId="23" fillId="0" borderId="65" xfId="0" applyNumberFormat="1" applyFont="1" applyBorder="1" applyAlignment="1">
      <alignment horizontal="center" vertical="center" wrapText="1"/>
    </xf>
    <xf numFmtId="3" fontId="23" fillId="0" borderId="79" xfId="0" applyNumberFormat="1" applyFont="1" applyBorder="1" applyAlignment="1">
      <alignment horizontal="center" vertical="center" wrapText="1"/>
    </xf>
    <xf numFmtId="9" fontId="23" fillId="0" borderId="66" xfId="1" applyFont="1" applyBorder="1" applyAlignment="1">
      <alignment horizontal="center" vertical="center"/>
    </xf>
    <xf numFmtId="9" fontId="23" fillId="0" borderId="80" xfId="1" applyFont="1" applyBorder="1" applyAlignment="1">
      <alignment horizontal="center" vertical="center"/>
    </xf>
    <xf numFmtId="0" fontId="28" fillId="0" borderId="54" xfId="0" applyFont="1" applyBorder="1" applyAlignment="1">
      <alignment horizontal="center" vertical="center" wrapText="1"/>
    </xf>
    <xf numFmtId="0" fontId="28" fillId="0" borderId="61" xfId="0" applyFont="1" applyBorder="1" applyAlignment="1">
      <alignment horizontal="center" vertical="center" wrapText="1"/>
    </xf>
    <xf numFmtId="166" fontId="23" fillId="0" borderId="43" xfId="0" applyNumberFormat="1" applyFont="1" applyBorder="1" applyAlignment="1">
      <alignment horizontal="center" vertical="center"/>
    </xf>
    <xf numFmtId="0" fontId="28" fillId="0" borderId="53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3" fontId="23" fillId="0" borderId="42" xfId="0" applyNumberFormat="1" applyFont="1" applyBorder="1" applyAlignment="1">
      <alignment horizontal="center" vertical="center"/>
    </xf>
    <xf numFmtId="3" fontId="23" fillId="0" borderId="43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left" vertical="center" wrapText="1"/>
    </xf>
    <xf numFmtId="0" fontId="23" fillId="0" borderId="3" xfId="0" applyFont="1" applyBorder="1" applyAlignment="1">
      <alignment horizontal="left" vertical="center" wrapText="1"/>
    </xf>
    <xf numFmtId="0" fontId="24" fillId="7" borderId="37" xfId="0" applyFont="1" applyFill="1" applyBorder="1" applyAlignment="1">
      <alignment horizontal="left" vertical="center"/>
    </xf>
    <xf numFmtId="0" fontId="39" fillId="0" borderId="0" xfId="0" applyFont="1" applyAlignment="1">
      <alignment horizontal="justify" vertical="justify" wrapText="1"/>
    </xf>
    <xf numFmtId="0" fontId="24" fillId="7" borderId="88" xfId="0" applyFont="1" applyFill="1" applyBorder="1" applyAlignment="1">
      <alignment horizontal="center" vertical="center" wrapText="1"/>
    </xf>
    <xf numFmtId="0" fontId="24" fillId="7" borderId="92" xfId="0" applyFont="1" applyFill="1" applyBorder="1" applyAlignment="1">
      <alignment horizontal="center" vertical="center" wrapText="1"/>
    </xf>
    <xf numFmtId="0" fontId="24" fillId="7" borderId="90" xfId="0" applyFont="1" applyFill="1" applyBorder="1" applyAlignment="1">
      <alignment horizontal="center" vertical="center" wrapText="1"/>
    </xf>
    <xf numFmtId="0" fontId="24" fillId="7" borderId="91" xfId="0" applyFont="1" applyFill="1" applyBorder="1" applyAlignment="1">
      <alignment horizontal="center" vertical="center" wrapText="1"/>
    </xf>
    <xf numFmtId="0" fontId="24" fillId="7" borderId="89" xfId="0" applyFont="1" applyFill="1" applyBorder="1" applyAlignment="1">
      <alignment horizontal="center" vertical="center" wrapText="1"/>
    </xf>
    <xf numFmtId="0" fontId="24" fillId="7" borderId="87" xfId="0" applyFont="1" applyFill="1" applyBorder="1" applyAlignment="1">
      <alignment horizontal="center" vertical="center" wrapText="1"/>
    </xf>
    <xf numFmtId="3" fontId="23" fillId="0" borderId="41" xfId="1" applyNumberFormat="1" applyFont="1" applyBorder="1" applyAlignment="1">
      <alignment horizontal="center" vertical="center"/>
    </xf>
    <xf numFmtId="3" fontId="23" fillId="0" borderId="43" xfId="1" applyNumberFormat="1" applyFont="1" applyBorder="1" applyAlignment="1">
      <alignment horizontal="center" vertical="center"/>
    </xf>
    <xf numFmtId="174" fontId="23" fillId="0" borderId="41" xfId="1" applyNumberFormat="1" applyFont="1" applyBorder="1" applyAlignment="1">
      <alignment horizontal="center" vertical="center"/>
    </xf>
    <xf numFmtId="174" fontId="23" fillId="0" borderId="43" xfId="1" applyNumberFormat="1" applyFont="1" applyBorder="1" applyAlignment="1">
      <alignment horizontal="center" vertical="center"/>
    </xf>
    <xf numFmtId="3" fontId="28" fillId="0" borderId="41" xfId="1" applyNumberFormat="1" applyFont="1" applyBorder="1" applyAlignment="1">
      <alignment horizontal="center" vertical="center"/>
    </xf>
    <xf numFmtId="3" fontId="28" fillId="0" borderId="43" xfId="1" applyNumberFormat="1" applyFont="1" applyBorder="1" applyAlignment="1">
      <alignment horizontal="center" vertical="center"/>
    </xf>
  </cellXfs>
  <cellStyles count="7">
    <cellStyle name="60% - Énfasis1" xfId="6" builtinId="32"/>
    <cellStyle name="Énfasis1" xfId="5" builtinId="29"/>
    <cellStyle name="Moneda" xfId="2" builtinId="4"/>
    <cellStyle name="Normal" xfId="0" builtinId="0"/>
    <cellStyle name="Normal 2" xfId="3"/>
    <cellStyle name="Normal 3" xfId="4"/>
    <cellStyle name="Porcentaje" xfId="1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7</xdr:row>
      <xdr:rowOff>0</xdr:rowOff>
    </xdr:from>
    <xdr:to>
      <xdr:col>21</xdr:col>
      <xdr:colOff>152400</xdr:colOff>
      <xdr:row>7</xdr:row>
      <xdr:rowOff>152400</xdr:rowOff>
    </xdr:to>
    <xdr:sp macro="" textlink="">
      <xdr:nvSpPr>
        <xdr:cNvPr id="2" name="Triangle Triangle"/>
        <xdr:cNvSpPr/>
      </xdr:nvSpPr>
      <xdr:spPr>
        <a:xfrm rot="16200000">
          <a:off x="12144375" y="12763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7</xdr:row>
      <xdr:rowOff>76200</xdr:rowOff>
    </xdr:from>
    <xdr:to>
      <xdr:col>21</xdr:col>
      <xdr:colOff>0</xdr:colOff>
      <xdr:row>7</xdr:row>
      <xdr:rowOff>76200</xdr:rowOff>
    </xdr:to>
    <xdr:sp macro="" textlink="">
      <xdr:nvSpPr>
        <xdr:cNvPr id="3" name="Line 1998"/>
        <xdr:cNvSpPr>
          <a:spLocks noChangeShapeType="1"/>
        </xdr:cNvSpPr>
      </xdr:nvSpPr>
      <xdr:spPr bwMode="auto">
        <a:xfrm>
          <a:off x="10429875" y="13525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4</xdr:row>
      <xdr:rowOff>76200</xdr:rowOff>
    </xdr:from>
    <xdr:to>
      <xdr:col>19</xdr:col>
      <xdr:colOff>0</xdr:colOff>
      <xdr:row>7</xdr:row>
      <xdr:rowOff>76200</xdr:rowOff>
    </xdr:to>
    <xdr:sp macro="" textlink="">
      <xdr:nvSpPr>
        <xdr:cNvPr id="4" name="Line 1999"/>
        <xdr:cNvSpPr>
          <a:spLocks noChangeShapeType="1"/>
        </xdr:cNvSpPr>
      </xdr:nvSpPr>
      <xdr:spPr bwMode="auto">
        <a:xfrm>
          <a:off x="10134600" y="809625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2</xdr:row>
      <xdr:rowOff>0</xdr:rowOff>
    </xdr:from>
    <xdr:to>
      <xdr:col>21</xdr:col>
      <xdr:colOff>152400</xdr:colOff>
      <xdr:row>2</xdr:row>
      <xdr:rowOff>152400</xdr:rowOff>
    </xdr:to>
    <xdr:sp macro="" textlink="">
      <xdr:nvSpPr>
        <xdr:cNvPr id="5" name="Triangle Triangle"/>
        <xdr:cNvSpPr/>
      </xdr:nvSpPr>
      <xdr:spPr>
        <a:xfrm rot="16200000">
          <a:off x="12144375" y="3714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2</xdr:row>
      <xdr:rowOff>76200</xdr:rowOff>
    </xdr:from>
    <xdr:to>
      <xdr:col>21</xdr:col>
      <xdr:colOff>0</xdr:colOff>
      <xdr:row>2</xdr:row>
      <xdr:rowOff>76200</xdr:rowOff>
    </xdr:to>
    <xdr:sp macro="" textlink="">
      <xdr:nvSpPr>
        <xdr:cNvPr id="6" name="Line 2000"/>
        <xdr:cNvSpPr>
          <a:spLocks noChangeShapeType="1"/>
        </xdr:cNvSpPr>
      </xdr:nvSpPr>
      <xdr:spPr bwMode="auto">
        <a:xfrm>
          <a:off x="10429875" y="4476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2</xdr:row>
      <xdr:rowOff>76200</xdr:rowOff>
    </xdr:from>
    <xdr:to>
      <xdr:col>19</xdr:col>
      <xdr:colOff>0</xdr:colOff>
      <xdr:row>4</xdr:row>
      <xdr:rowOff>76200</xdr:rowOff>
    </xdr:to>
    <xdr:sp macro="" textlink="">
      <xdr:nvSpPr>
        <xdr:cNvPr id="7" name="Line 2001"/>
        <xdr:cNvSpPr>
          <a:spLocks noChangeShapeType="1"/>
        </xdr:cNvSpPr>
      </xdr:nvSpPr>
      <xdr:spPr bwMode="auto">
        <a:xfrm flipV="1">
          <a:off x="10134600" y="447675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17</xdr:row>
      <xdr:rowOff>0</xdr:rowOff>
    </xdr:from>
    <xdr:to>
      <xdr:col>17</xdr:col>
      <xdr:colOff>152400</xdr:colOff>
      <xdr:row>17</xdr:row>
      <xdr:rowOff>152400</xdr:rowOff>
    </xdr:to>
    <xdr:sp macro="" textlink="">
      <xdr:nvSpPr>
        <xdr:cNvPr id="8" name="Triangle Triangle"/>
        <xdr:cNvSpPr/>
      </xdr:nvSpPr>
      <xdr:spPr>
        <a:xfrm rot="16200000">
          <a:off x="9982200" y="30861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17</xdr:row>
      <xdr:rowOff>76200</xdr:rowOff>
    </xdr:from>
    <xdr:to>
      <xdr:col>21</xdr:col>
      <xdr:colOff>0</xdr:colOff>
      <xdr:row>17</xdr:row>
      <xdr:rowOff>76200</xdr:rowOff>
    </xdr:to>
    <xdr:sp macro="" textlink="">
      <xdr:nvSpPr>
        <xdr:cNvPr id="9" name="Line 2002"/>
        <xdr:cNvSpPr>
          <a:spLocks noChangeShapeType="1"/>
        </xdr:cNvSpPr>
      </xdr:nvSpPr>
      <xdr:spPr bwMode="auto">
        <a:xfrm>
          <a:off x="10134600" y="316230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17</xdr:row>
      <xdr:rowOff>76200</xdr:rowOff>
    </xdr:from>
    <xdr:to>
      <xdr:col>17</xdr:col>
      <xdr:colOff>0</xdr:colOff>
      <xdr:row>17</xdr:row>
      <xdr:rowOff>76200</xdr:rowOff>
    </xdr:to>
    <xdr:sp macro="" textlink="">
      <xdr:nvSpPr>
        <xdr:cNvPr id="10" name="Line 2003"/>
        <xdr:cNvSpPr>
          <a:spLocks noChangeShapeType="1"/>
        </xdr:cNvSpPr>
      </xdr:nvSpPr>
      <xdr:spPr bwMode="auto">
        <a:xfrm>
          <a:off x="8267700" y="31623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17</xdr:row>
      <xdr:rowOff>76200</xdr:rowOff>
    </xdr:from>
    <xdr:to>
      <xdr:col>15</xdr:col>
      <xdr:colOff>0</xdr:colOff>
      <xdr:row>19</xdr:row>
      <xdr:rowOff>76200</xdr:rowOff>
    </xdr:to>
    <xdr:sp macro="" textlink="">
      <xdr:nvSpPr>
        <xdr:cNvPr id="11" name="Line 2004"/>
        <xdr:cNvSpPr>
          <a:spLocks noChangeShapeType="1"/>
        </xdr:cNvSpPr>
      </xdr:nvSpPr>
      <xdr:spPr bwMode="auto">
        <a:xfrm flipV="1">
          <a:off x="7972425" y="316230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152400</xdr:colOff>
      <xdr:row>12</xdr:row>
      <xdr:rowOff>152400</xdr:rowOff>
    </xdr:to>
    <xdr:sp macro="" textlink="">
      <xdr:nvSpPr>
        <xdr:cNvPr id="12" name="Triangle Triangle"/>
        <xdr:cNvSpPr/>
      </xdr:nvSpPr>
      <xdr:spPr>
        <a:xfrm rot="16200000">
          <a:off x="9982200" y="21812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12</xdr:row>
      <xdr:rowOff>76200</xdr:rowOff>
    </xdr:from>
    <xdr:to>
      <xdr:col>21</xdr:col>
      <xdr:colOff>0</xdr:colOff>
      <xdr:row>12</xdr:row>
      <xdr:rowOff>76200</xdr:rowOff>
    </xdr:to>
    <xdr:sp macro="" textlink="">
      <xdr:nvSpPr>
        <xdr:cNvPr id="13" name="Line 2005"/>
        <xdr:cNvSpPr>
          <a:spLocks noChangeShapeType="1"/>
        </xdr:cNvSpPr>
      </xdr:nvSpPr>
      <xdr:spPr bwMode="auto">
        <a:xfrm>
          <a:off x="10134600" y="225742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12</xdr:row>
      <xdr:rowOff>76200</xdr:rowOff>
    </xdr:from>
    <xdr:to>
      <xdr:col>17</xdr:col>
      <xdr:colOff>0</xdr:colOff>
      <xdr:row>12</xdr:row>
      <xdr:rowOff>76200</xdr:rowOff>
    </xdr:to>
    <xdr:sp macro="" textlink="">
      <xdr:nvSpPr>
        <xdr:cNvPr id="14" name="Line 2006"/>
        <xdr:cNvSpPr>
          <a:spLocks noChangeShapeType="1"/>
        </xdr:cNvSpPr>
      </xdr:nvSpPr>
      <xdr:spPr bwMode="auto">
        <a:xfrm>
          <a:off x="8267700" y="22574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8</xdr:row>
      <xdr:rowOff>76200</xdr:rowOff>
    </xdr:from>
    <xdr:to>
      <xdr:col>15</xdr:col>
      <xdr:colOff>0</xdr:colOff>
      <xdr:row>12</xdr:row>
      <xdr:rowOff>76200</xdr:rowOff>
    </xdr:to>
    <xdr:sp macro="" textlink="">
      <xdr:nvSpPr>
        <xdr:cNvPr id="15" name="Line 2007"/>
        <xdr:cNvSpPr>
          <a:spLocks noChangeShapeType="1"/>
        </xdr:cNvSpPr>
      </xdr:nvSpPr>
      <xdr:spPr bwMode="auto">
        <a:xfrm>
          <a:off x="7972425" y="1533525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15</xdr:col>
      <xdr:colOff>81642</xdr:colOff>
      <xdr:row>82</xdr:row>
      <xdr:rowOff>76199</xdr:rowOff>
    </xdr:from>
    <xdr:to>
      <xdr:col>21</xdr:col>
      <xdr:colOff>-1</xdr:colOff>
      <xdr:row>82</xdr:row>
      <xdr:rowOff>81642</xdr:rowOff>
    </xdr:to>
    <xdr:sp macro="" textlink="">
      <xdr:nvSpPr>
        <xdr:cNvPr id="17" name="Line 2008"/>
        <xdr:cNvSpPr>
          <a:spLocks noChangeShapeType="1"/>
        </xdr:cNvSpPr>
      </xdr:nvSpPr>
      <xdr:spPr bwMode="auto">
        <a:xfrm flipV="1">
          <a:off x="8368392" y="14595020"/>
          <a:ext cx="3796393" cy="5443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14</xdr:col>
      <xdr:colOff>194578</xdr:colOff>
      <xdr:row>82</xdr:row>
      <xdr:rowOff>0</xdr:rowOff>
    </xdr:from>
    <xdr:to>
      <xdr:col>15</xdr:col>
      <xdr:colOff>84360</xdr:colOff>
      <xdr:row>82</xdr:row>
      <xdr:rowOff>152400</xdr:rowOff>
    </xdr:to>
    <xdr:sp macro="" textlink="">
      <xdr:nvSpPr>
        <xdr:cNvPr id="16" name="Triangle Triangle"/>
        <xdr:cNvSpPr/>
      </xdr:nvSpPr>
      <xdr:spPr>
        <a:xfrm rot="16200000">
          <a:off x="8213948" y="14514058"/>
          <a:ext cx="152400" cy="161925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272142</xdr:colOff>
      <xdr:row>82</xdr:row>
      <xdr:rowOff>74084</xdr:rowOff>
    </xdr:from>
    <xdr:to>
      <xdr:col>14</xdr:col>
      <xdr:colOff>211667</xdr:colOff>
      <xdr:row>82</xdr:row>
      <xdr:rowOff>76200</xdr:rowOff>
    </xdr:to>
    <xdr:sp macro="" textlink="">
      <xdr:nvSpPr>
        <xdr:cNvPr id="18" name="Line 2009"/>
        <xdr:cNvSpPr>
          <a:spLocks noChangeShapeType="1"/>
        </xdr:cNvSpPr>
      </xdr:nvSpPr>
      <xdr:spPr bwMode="auto">
        <a:xfrm flipV="1">
          <a:off x="5711975" y="14837834"/>
          <a:ext cx="2479525" cy="2116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79</xdr:row>
      <xdr:rowOff>76200</xdr:rowOff>
    </xdr:from>
    <xdr:to>
      <xdr:col>11</xdr:col>
      <xdr:colOff>0</xdr:colOff>
      <xdr:row>82</xdr:row>
      <xdr:rowOff>76200</xdr:rowOff>
    </xdr:to>
    <xdr:sp macro="" textlink="">
      <xdr:nvSpPr>
        <xdr:cNvPr id="19" name="Line 2010"/>
        <xdr:cNvSpPr>
          <a:spLocks noChangeShapeType="1"/>
        </xdr:cNvSpPr>
      </xdr:nvSpPr>
      <xdr:spPr bwMode="auto">
        <a:xfrm>
          <a:off x="5429250" y="14382750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15</xdr:col>
      <xdr:colOff>95250</xdr:colOff>
      <xdr:row>77</xdr:row>
      <xdr:rowOff>74083</xdr:rowOff>
    </xdr:from>
    <xdr:to>
      <xdr:col>21</xdr:col>
      <xdr:colOff>0</xdr:colOff>
      <xdr:row>77</xdr:row>
      <xdr:rowOff>76200</xdr:rowOff>
    </xdr:to>
    <xdr:sp macro="" textlink="">
      <xdr:nvSpPr>
        <xdr:cNvPr id="21" name="Line 2011"/>
        <xdr:cNvSpPr>
          <a:spLocks noChangeShapeType="1"/>
        </xdr:cNvSpPr>
      </xdr:nvSpPr>
      <xdr:spPr bwMode="auto">
        <a:xfrm>
          <a:off x="8350250" y="13938250"/>
          <a:ext cx="3778250" cy="2117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14</xdr:col>
      <xdr:colOff>201072</xdr:colOff>
      <xdr:row>77</xdr:row>
      <xdr:rowOff>0</xdr:rowOff>
    </xdr:from>
    <xdr:to>
      <xdr:col>15</xdr:col>
      <xdr:colOff>78305</xdr:colOff>
      <xdr:row>77</xdr:row>
      <xdr:rowOff>152400</xdr:rowOff>
    </xdr:to>
    <xdr:sp macro="" textlink="">
      <xdr:nvSpPr>
        <xdr:cNvPr id="20" name="Triangle Triangle"/>
        <xdr:cNvSpPr/>
      </xdr:nvSpPr>
      <xdr:spPr>
        <a:xfrm rot="16200000">
          <a:off x="8180905" y="13864167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275166</xdr:colOff>
      <xdr:row>77</xdr:row>
      <xdr:rowOff>74082</xdr:rowOff>
    </xdr:from>
    <xdr:to>
      <xdr:col>14</xdr:col>
      <xdr:colOff>232833</xdr:colOff>
      <xdr:row>77</xdr:row>
      <xdr:rowOff>76199</xdr:rowOff>
    </xdr:to>
    <xdr:sp macro="" textlink="">
      <xdr:nvSpPr>
        <xdr:cNvPr id="22" name="Line 2012"/>
        <xdr:cNvSpPr>
          <a:spLocks noChangeShapeType="1"/>
        </xdr:cNvSpPr>
      </xdr:nvSpPr>
      <xdr:spPr bwMode="auto">
        <a:xfrm flipV="1">
          <a:off x="5714999" y="13938249"/>
          <a:ext cx="2497667" cy="2117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77</xdr:row>
      <xdr:rowOff>76200</xdr:rowOff>
    </xdr:from>
    <xdr:to>
      <xdr:col>11</xdr:col>
      <xdr:colOff>0</xdr:colOff>
      <xdr:row>79</xdr:row>
      <xdr:rowOff>76200</xdr:rowOff>
    </xdr:to>
    <xdr:sp macro="" textlink="">
      <xdr:nvSpPr>
        <xdr:cNvPr id="23" name="Line 2013"/>
        <xdr:cNvSpPr>
          <a:spLocks noChangeShapeType="1"/>
        </xdr:cNvSpPr>
      </xdr:nvSpPr>
      <xdr:spPr bwMode="auto">
        <a:xfrm flipV="1">
          <a:off x="5429250" y="1402080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4</xdr:row>
      <xdr:rowOff>0</xdr:rowOff>
    </xdr:from>
    <xdr:to>
      <xdr:col>17</xdr:col>
      <xdr:colOff>152400</xdr:colOff>
      <xdr:row>4</xdr:row>
      <xdr:rowOff>152400</xdr:rowOff>
    </xdr:to>
    <xdr:sp macro="" textlink="">
      <xdr:nvSpPr>
        <xdr:cNvPr id="24" name="Circle Oval"/>
        <xdr:cNvSpPr/>
      </xdr:nvSpPr>
      <xdr:spPr>
        <a:xfrm>
          <a:off x="9982200" y="7334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4</xdr:row>
      <xdr:rowOff>76200</xdr:rowOff>
    </xdr:from>
    <xdr:to>
      <xdr:col>17</xdr:col>
      <xdr:colOff>0</xdr:colOff>
      <xdr:row>4</xdr:row>
      <xdr:rowOff>76200</xdr:rowOff>
    </xdr:to>
    <xdr:sp macro="" textlink="">
      <xdr:nvSpPr>
        <xdr:cNvPr id="25" name="Line 2014"/>
        <xdr:cNvSpPr>
          <a:spLocks noChangeShapeType="1"/>
        </xdr:cNvSpPr>
      </xdr:nvSpPr>
      <xdr:spPr bwMode="auto">
        <a:xfrm>
          <a:off x="8267700" y="8096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4</xdr:row>
      <xdr:rowOff>76200</xdr:rowOff>
    </xdr:from>
    <xdr:to>
      <xdr:col>15</xdr:col>
      <xdr:colOff>0</xdr:colOff>
      <xdr:row>8</xdr:row>
      <xdr:rowOff>76200</xdr:rowOff>
    </xdr:to>
    <xdr:sp macro="" textlink="">
      <xdr:nvSpPr>
        <xdr:cNvPr id="26" name="Line 2015"/>
        <xdr:cNvSpPr>
          <a:spLocks noChangeShapeType="1"/>
        </xdr:cNvSpPr>
      </xdr:nvSpPr>
      <xdr:spPr bwMode="auto">
        <a:xfrm flipV="1">
          <a:off x="7972425" y="809625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152400</xdr:colOff>
      <xdr:row>71</xdr:row>
      <xdr:rowOff>152400</xdr:rowOff>
    </xdr:to>
    <xdr:sp macro="" textlink="">
      <xdr:nvSpPr>
        <xdr:cNvPr id="27" name="Circle Oval"/>
        <xdr:cNvSpPr/>
      </xdr:nvSpPr>
      <xdr:spPr>
        <a:xfrm>
          <a:off x="3048000" y="128587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71</xdr:row>
      <xdr:rowOff>76200</xdr:rowOff>
    </xdr:from>
    <xdr:to>
      <xdr:col>5</xdr:col>
      <xdr:colOff>0</xdr:colOff>
      <xdr:row>71</xdr:row>
      <xdr:rowOff>76200</xdr:rowOff>
    </xdr:to>
    <xdr:sp macro="" textlink="">
      <xdr:nvSpPr>
        <xdr:cNvPr id="28" name="Line 2016"/>
        <xdr:cNvSpPr>
          <a:spLocks noChangeShapeType="1"/>
        </xdr:cNvSpPr>
      </xdr:nvSpPr>
      <xdr:spPr bwMode="auto">
        <a:xfrm>
          <a:off x="1314450" y="12934950"/>
          <a:ext cx="173355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</xdr:col>
      <xdr:colOff>152400</xdr:colOff>
      <xdr:row>48</xdr:row>
      <xdr:rowOff>76200</xdr:rowOff>
    </xdr:from>
    <xdr:to>
      <xdr:col>3</xdr:col>
      <xdr:colOff>0</xdr:colOff>
      <xdr:row>71</xdr:row>
      <xdr:rowOff>76200</xdr:rowOff>
    </xdr:to>
    <xdr:sp macro="" textlink="">
      <xdr:nvSpPr>
        <xdr:cNvPr id="29" name="Line 2017"/>
        <xdr:cNvSpPr>
          <a:spLocks noChangeShapeType="1"/>
        </xdr:cNvSpPr>
      </xdr:nvSpPr>
      <xdr:spPr bwMode="auto">
        <a:xfrm>
          <a:off x="1019175" y="8772525"/>
          <a:ext cx="295275" cy="41624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72</xdr:row>
      <xdr:rowOff>0</xdr:rowOff>
    </xdr:from>
    <xdr:to>
      <xdr:col>17</xdr:col>
      <xdr:colOff>152400</xdr:colOff>
      <xdr:row>72</xdr:row>
      <xdr:rowOff>152400</xdr:rowOff>
    </xdr:to>
    <xdr:sp macro="" textlink="">
      <xdr:nvSpPr>
        <xdr:cNvPr id="30" name="Triangle Triangle"/>
        <xdr:cNvSpPr/>
      </xdr:nvSpPr>
      <xdr:spPr>
        <a:xfrm rot="16200000">
          <a:off x="9982200" y="130397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72</xdr:row>
      <xdr:rowOff>76200</xdr:rowOff>
    </xdr:from>
    <xdr:to>
      <xdr:col>21</xdr:col>
      <xdr:colOff>0</xdr:colOff>
      <xdr:row>72</xdr:row>
      <xdr:rowOff>76200</xdr:rowOff>
    </xdr:to>
    <xdr:sp macro="" textlink="">
      <xdr:nvSpPr>
        <xdr:cNvPr id="31" name="Line 2018"/>
        <xdr:cNvSpPr>
          <a:spLocks noChangeShapeType="1"/>
        </xdr:cNvSpPr>
      </xdr:nvSpPr>
      <xdr:spPr bwMode="auto">
        <a:xfrm>
          <a:off x="10134600" y="1311592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72</xdr:row>
      <xdr:rowOff>76200</xdr:rowOff>
    </xdr:from>
    <xdr:to>
      <xdr:col>17</xdr:col>
      <xdr:colOff>0</xdr:colOff>
      <xdr:row>72</xdr:row>
      <xdr:rowOff>76200</xdr:rowOff>
    </xdr:to>
    <xdr:sp macro="" textlink="">
      <xdr:nvSpPr>
        <xdr:cNvPr id="32" name="Line 2019"/>
        <xdr:cNvSpPr>
          <a:spLocks noChangeShapeType="1"/>
        </xdr:cNvSpPr>
      </xdr:nvSpPr>
      <xdr:spPr bwMode="auto">
        <a:xfrm>
          <a:off x="8267700" y="131159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69</xdr:row>
      <xdr:rowOff>76200</xdr:rowOff>
    </xdr:from>
    <xdr:to>
      <xdr:col>15</xdr:col>
      <xdr:colOff>0</xdr:colOff>
      <xdr:row>72</xdr:row>
      <xdr:rowOff>76200</xdr:rowOff>
    </xdr:to>
    <xdr:sp macro="" textlink="">
      <xdr:nvSpPr>
        <xdr:cNvPr id="33" name="Line 2020"/>
        <xdr:cNvSpPr>
          <a:spLocks noChangeShapeType="1"/>
        </xdr:cNvSpPr>
      </xdr:nvSpPr>
      <xdr:spPr bwMode="auto">
        <a:xfrm>
          <a:off x="7972425" y="12573000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67</xdr:row>
      <xdr:rowOff>0</xdr:rowOff>
    </xdr:from>
    <xdr:to>
      <xdr:col>17</xdr:col>
      <xdr:colOff>152400</xdr:colOff>
      <xdr:row>67</xdr:row>
      <xdr:rowOff>152400</xdr:rowOff>
    </xdr:to>
    <xdr:sp macro="" textlink="">
      <xdr:nvSpPr>
        <xdr:cNvPr id="34" name="Triangle Triangle"/>
        <xdr:cNvSpPr/>
      </xdr:nvSpPr>
      <xdr:spPr>
        <a:xfrm rot="16200000">
          <a:off x="9982200" y="121348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67</xdr:row>
      <xdr:rowOff>76200</xdr:rowOff>
    </xdr:from>
    <xdr:to>
      <xdr:col>21</xdr:col>
      <xdr:colOff>0</xdr:colOff>
      <xdr:row>67</xdr:row>
      <xdr:rowOff>76200</xdr:rowOff>
    </xdr:to>
    <xdr:sp macro="" textlink="">
      <xdr:nvSpPr>
        <xdr:cNvPr id="35" name="Line 2021"/>
        <xdr:cNvSpPr>
          <a:spLocks noChangeShapeType="1"/>
        </xdr:cNvSpPr>
      </xdr:nvSpPr>
      <xdr:spPr bwMode="auto">
        <a:xfrm>
          <a:off x="10134600" y="1221105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67</xdr:row>
      <xdr:rowOff>76200</xdr:rowOff>
    </xdr:from>
    <xdr:to>
      <xdr:col>17</xdr:col>
      <xdr:colOff>0</xdr:colOff>
      <xdr:row>67</xdr:row>
      <xdr:rowOff>76200</xdr:rowOff>
    </xdr:to>
    <xdr:sp macro="" textlink="">
      <xdr:nvSpPr>
        <xdr:cNvPr id="36" name="Line 2022"/>
        <xdr:cNvSpPr>
          <a:spLocks noChangeShapeType="1"/>
        </xdr:cNvSpPr>
      </xdr:nvSpPr>
      <xdr:spPr bwMode="auto">
        <a:xfrm>
          <a:off x="8267700" y="122110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67</xdr:row>
      <xdr:rowOff>76200</xdr:rowOff>
    </xdr:from>
    <xdr:to>
      <xdr:col>15</xdr:col>
      <xdr:colOff>0</xdr:colOff>
      <xdr:row>69</xdr:row>
      <xdr:rowOff>76200</xdr:rowOff>
    </xdr:to>
    <xdr:sp macro="" textlink="">
      <xdr:nvSpPr>
        <xdr:cNvPr id="37" name="Line 2023"/>
        <xdr:cNvSpPr>
          <a:spLocks noChangeShapeType="1"/>
        </xdr:cNvSpPr>
      </xdr:nvSpPr>
      <xdr:spPr bwMode="auto">
        <a:xfrm flipV="1">
          <a:off x="7972425" y="1221105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62</xdr:row>
      <xdr:rowOff>0</xdr:rowOff>
    </xdr:from>
    <xdr:to>
      <xdr:col>17</xdr:col>
      <xdr:colOff>152400</xdr:colOff>
      <xdr:row>62</xdr:row>
      <xdr:rowOff>152400</xdr:rowOff>
    </xdr:to>
    <xdr:sp macro="" textlink="">
      <xdr:nvSpPr>
        <xdr:cNvPr id="38" name="Triangle Triangle"/>
        <xdr:cNvSpPr/>
      </xdr:nvSpPr>
      <xdr:spPr>
        <a:xfrm rot="16200000">
          <a:off x="9982200" y="112299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62</xdr:row>
      <xdr:rowOff>76200</xdr:rowOff>
    </xdr:from>
    <xdr:to>
      <xdr:col>21</xdr:col>
      <xdr:colOff>0</xdr:colOff>
      <xdr:row>62</xdr:row>
      <xdr:rowOff>76200</xdr:rowOff>
    </xdr:to>
    <xdr:sp macro="" textlink="">
      <xdr:nvSpPr>
        <xdr:cNvPr id="39" name="Line 2024"/>
        <xdr:cNvSpPr>
          <a:spLocks noChangeShapeType="1"/>
        </xdr:cNvSpPr>
      </xdr:nvSpPr>
      <xdr:spPr bwMode="auto">
        <a:xfrm>
          <a:off x="10134600" y="1130617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62</xdr:row>
      <xdr:rowOff>76200</xdr:rowOff>
    </xdr:from>
    <xdr:to>
      <xdr:col>17</xdr:col>
      <xdr:colOff>0</xdr:colOff>
      <xdr:row>62</xdr:row>
      <xdr:rowOff>76200</xdr:rowOff>
    </xdr:to>
    <xdr:sp macro="" textlink="">
      <xdr:nvSpPr>
        <xdr:cNvPr id="40" name="Line 2025"/>
        <xdr:cNvSpPr>
          <a:spLocks noChangeShapeType="1"/>
        </xdr:cNvSpPr>
      </xdr:nvSpPr>
      <xdr:spPr bwMode="auto">
        <a:xfrm>
          <a:off x="8267700" y="113061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58</xdr:row>
      <xdr:rowOff>76200</xdr:rowOff>
    </xdr:from>
    <xdr:to>
      <xdr:col>15</xdr:col>
      <xdr:colOff>0</xdr:colOff>
      <xdr:row>62</xdr:row>
      <xdr:rowOff>76200</xdr:rowOff>
    </xdr:to>
    <xdr:sp macro="" textlink="">
      <xdr:nvSpPr>
        <xdr:cNvPr id="41" name="Line 2026"/>
        <xdr:cNvSpPr>
          <a:spLocks noChangeShapeType="1"/>
        </xdr:cNvSpPr>
      </xdr:nvSpPr>
      <xdr:spPr bwMode="auto">
        <a:xfrm>
          <a:off x="7972425" y="10582275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54</xdr:row>
      <xdr:rowOff>0</xdr:rowOff>
    </xdr:from>
    <xdr:to>
      <xdr:col>17</xdr:col>
      <xdr:colOff>152400</xdr:colOff>
      <xdr:row>54</xdr:row>
      <xdr:rowOff>152400</xdr:rowOff>
    </xdr:to>
    <xdr:sp macro="" textlink="">
      <xdr:nvSpPr>
        <xdr:cNvPr id="42" name="Circle Oval"/>
        <xdr:cNvSpPr/>
      </xdr:nvSpPr>
      <xdr:spPr>
        <a:xfrm>
          <a:off x="9982200" y="97821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54</xdr:row>
      <xdr:rowOff>76200</xdr:rowOff>
    </xdr:from>
    <xdr:to>
      <xdr:col>17</xdr:col>
      <xdr:colOff>0</xdr:colOff>
      <xdr:row>54</xdr:row>
      <xdr:rowOff>76200</xdr:rowOff>
    </xdr:to>
    <xdr:sp macro="" textlink="">
      <xdr:nvSpPr>
        <xdr:cNvPr id="43" name="Line 2027"/>
        <xdr:cNvSpPr>
          <a:spLocks noChangeShapeType="1"/>
        </xdr:cNvSpPr>
      </xdr:nvSpPr>
      <xdr:spPr bwMode="auto">
        <a:xfrm>
          <a:off x="8267700" y="98583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54</xdr:row>
      <xdr:rowOff>76200</xdr:rowOff>
    </xdr:from>
    <xdr:to>
      <xdr:col>15</xdr:col>
      <xdr:colOff>0</xdr:colOff>
      <xdr:row>58</xdr:row>
      <xdr:rowOff>76200</xdr:rowOff>
    </xdr:to>
    <xdr:sp macro="" textlink="">
      <xdr:nvSpPr>
        <xdr:cNvPr id="44" name="Line 2028"/>
        <xdr:cNvSpPr>
          <a:spLocks noChangeShapeType="1"/>
        </xdr:cNvSpPr>
      </xdr:nvSpPr>
      <xdr:spPr bwMode="auto">
        <a:xfrm flipV="1">
          <a:off x="7972425" y="9858375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69</xdr:row>
      <xdr:rowOff>0</xdr:rowOff>
    </xdr:from>
    <xdr:to>
      <xdr:col>13</xdr:col>
      <xdr:colOff>152400</xdr:colOff>
      <xdr:row>69</xdr:row>
      <xdr:rowOff>152400</xdr:rowOff>
    </xdr:to>
    <xdr:sp macro="" textlink="">
      <xdr:nvSpPr>
        <xdr:cNvPr id="45" name="Circle Oval"/>
        <xdr:cNvSpPr/>
      </xdr:nvSpPr>
      <xdr:spPr>
        <a:xfrm>
          <a:off x="7820025" y="124968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69</xdr:row>
      <xdr:rowOff>76200</xdr:rowOff>
    </xdr:from>
    <xdr:to>
      <xdr:col>13</xdr:col>
      <xdr:colOff>0</xdr:colOff>
      <xdr:row>69</xdr:row>
      <xdr:rowOff>76200</xdr:rowOff>
    </xdr:to>
    <xdr:sp macro="" textlink="">
      <xdr:nvSpPr>
        <xdr:cNvPr id="46" name="Line 2029"/>
        <xdr:cNvSpPr>
          <a:spLocks noChangeShapeType="1"/>
        </xdr:cNvSpPr>
      </xdr:nvSpPr>
      <xdr:spPr bwMode="auto">
        <a:xfrm>
          <a:off x="5724525" y="12573000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63</xdr:row>
      <xdr:rowOff>76200</xdr:rowOff>
    </xdr:from>
    <xdr:to>
      <xdr:col>11</xdr:col>
      <xdr:colOff>0</xdr:colOff>
      <xdr:row>69</xdr:row>
      <xdr:rowOff>76200</xdr:rowOff>
    </xdr:to>
    <xdr:sp macro="" textlink="">
      <xdr:nvSpPr>
        <xdr:cNvPr id="47" name="Line 2030"/>
        <xdr:cNvSpPr>
          <a:spLocks noChangeShapeType="1"/>
        </xdr:cNvSpPr>
      </xdr:nvSpPr>
      <xdr:spPr bwMode="auto">
        <a:xfrm>
          <a:off x="5429250" y="11487150"/>
          <a:ext cx="295275" cy="10858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152400</xdr:colOff>
      <xdr:row>58</xdr:row>
      <xdr:rowOff>152400</xdr:rowOff>
    </xdr:to>
    <xdr:sp macro="" textlink="">
      <xdr:nvSpPr>
        <xdr:cNvPr id="48" name="Circle Oval"/>
        <xdr:cNvSpPr/>
      </xdr:nvSpPr>
      <xdr:spPr>
        <a:xfrm>
          <a:off x="7820025" y="105060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58</xdr:row>
      <xdr:rowOff>76200</xdr:rowOff>
    </xdr:from>
    <xdr:to>
      <xdr:col>13</xdr:col>
      <xdr:colOff>0</xdr:colOff>
      <xdr:row>58</xdr:row>
      <xdr:rowOff>76200</xdr:rowOff>
    </xdr:to>
    <xdr:sp macro="" textlink="">
      <xdr:nvSpPr>
        <xdr:cNvPr id="49" name="Line 2031"/>
        <xdr:cNvSpPr>
          <a:spLocks noChangeShapeType="1"/>
        </xdr:cNvSpPr>
      </xdr:nvSpPr>
      <xdr:spPr bwMode="auto">
        <a:xfrm>
          <a:off x="5724525" y="10582275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58</xdr:row>
      <xdr:rowOff>76200</xdr:rowOff>
    </xdr:from>
    <xdr:to>
      <xdr:col>11</xdr:col>
      <xdr:colOff>0</xdr:colOff>
      <xdr:row>63</xdr:row>
      <xdr:rowOff>76200</xdr:rowOff>
    </xdr:to>
    <xdr:sp macro="" textlink="">
      <xdr:nvSpPr>
        <xdr:cNvPr id="50" name="Line 2032"/>
        <xdr:cNvSpPr>
          <a:spLocks noChangeShapeType="1"/>
        </xdr:cNvSpPr>
      </xdr:nvSpPr>
      <xdr:spPr bwMode="auto">
        <a:xfrm flipV="1">
          <a:off x="5429250" y="10582275"/>
          <a:ext cx="295275" cy="9048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79</xdr:row>
      <xdr:rowOff>0</xdr:rowOff>
    </xdr:from>
    <xdr:to>
      <xdr:col>9</xdr:col>
      <xdr:colOff>152400</xdr:colOff>
      <xdr:row>79</xdr:row>
      <xdr:rowOff>152400</xdr:rowOff>
    </xdr:to>
    <xdr:sp macro="" textlink="">
      <xdr:nvSpPr>
        <xdr:cNvPr id="51" name="Circle Oval"/>
        <xdr:cNvSpPr/>
      </xdr:nvSpPr>
      <xdr:spPr>
        <a:xfrm>
          <a:off x="5276850" y="143065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79</xdr:row>
      <xdr:rowOff>76200</xdr:rowOff>
    </xdr:from>
    <xdr:to>
      <xdr:col>9</xdr:col>
      <xdr:colOff>0</xdr:colOff>
      <xdr:row>79</xdr:row>
      <xdr:rowOff>76200</xdr:rowOff>
    </xdr:to>
    <xdr:sp macro="" textlink="">
      <xdr:nvSpPr>
        <xdr:cNvPr id="52" name="Line 2033"/>
        <xdr:cNvSpPr>
          <a:spLocks noChangeShapeType="1"/>
        </xdr:cNvSpPr>
      </xdr:nvSpPr>
      <xdr:spPr bwMode="auto">
        <a:xfrm>
          <a:off x="3495675" y="14382750"/>
          <a:ext cx="17811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71</xdr:row>
      <xdr:rowOff>76200</xdr:rowOff>
    </xdr:from>
    <xdr:to>
      <xdr:col>7</xdr:col>
      <xdr:colOff>0</xdr:colOff>
      <xdr:row>79</xdr:row>
      <xdr:rowOff>76200</xdr:rowOff>
    </xdr:to>
    <xdr:sp macro="" textlink="">
      <xdr:nvSpPr>
        <xdr:cNvPr id="53" name="Line 2034"/>
        <xdr:cNvSpPr>
          <a:spLocks noChangeShapeType="1"/>
        </xdr:cNvSpPr>
      </xdr:nvSpPr>
      <xdr:spPr bwMode="auto">
        <a:xfrm>
          <a:off x="3200400" y="12934950"/>
          <a:ext cx="295275" cy="14478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63</xdr:row>
      <xdr:rowOff>0</xdr:rowOff>
    </xdr:from>
    <xdr:to>
      <xdr:col>9</xdr:col>
      <xdr:colOff>152400</xdr:colOff>
      <xdr:row>63</xdr:row>
      <xdr:rowOff>152400</xdr:rowOff>
    </xdr:to>
    <xdr:sp macro="" textlink="">
      <xdr:nvSpPr>
        <xdr:cNvPr id="54" name="Square Rectangle"/>
        <xdr:cNvSpPr/>
      </xdr:nvSpPr>
      <xdr:spPr>
        <a:xfrm>
          <a:off x="5276850" y="11410950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  <a:extLst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63</xdr:row>
      <xdr:rowOff>76200</xdr:rowOff>
    </xdr:from>
    <xdr:to>
      <xdr:col>9</xdr:col>
      <xdr:colOff>0</xdr:colOff>
      <xdr:row>63</xdr:row>
      <xdr:rowOff>76200</xdr:rowOff>
    </xdr:to>
    <xdr:sp macro="" textlink="">
      <xdr:nvSpPr>
        <xdr:cNvPr id="55" name="Line 2035"/>
        <xdr:cNvSpPr>
          <a:spLocks noChangeShapeType="1"/>
        </xdr:cNvSpPr>
      </xdr:nvSpPr>
      <xdr:spPr bwMode="auto">
        <a:xfrm>
          <a:off x="3495675" y="11487150"/>
          <a:ext cx="17811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63</xdr:row>
      <xdr:rowOff>76200</xdr:rowOff>
    </xdr:from>
    <xdr:to>
      <xdr:col>7</xdr:col>
      <xdr:colOff>0</xdr:colOff>
      <xdr:row>71</xdr:row>
      <xdr:rowOff>76200</xdr:rowOff>
    </xdr:to>
    <xdr:sp macro="" textlink="">
      <xdr:nvSpPr>
        <xdr:cNvPr id="56" name="Line 2036"/>
        <xdr:cNvSpPr>
          <a:spLocks noChangeShapeType="1"/>
        </xdr:cNvSpPr>
      </xdr:nvSpPr>
      <xdr:spPr bwMode="auto">
        <a:xfrm flipV="1">
          <a:off x="3200400" y="11487150"/>
          <a:ext cx="295275" cy="14478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152400</xdr:colOff>
      <xdr:row>25</xdr:row>
      <xdr:rowOff>152400</xdr:rowOff>
    </xdr:to>
    <xdr:sp macro="" textlink="">
      <xdr:nvSpPr>
        <xdr:cNvPr id="57" name="Circle Oval"/>
        <xdr:cNvSpPr/>
      </xdr:nvSpPr>
      <xdr:spPr>
        <a:xfrm>
          <a:off x="3048000" y="45339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25</xdr:row>
      <xdr:rowOff>76200</xdr:rowOff>
    </xdr:from>
    <xdr:to>
      <xdr:col>5</xdr:col>
      <xdr:colOff>0</xdr:colOff>
      <xdr:row>25</xdr:row>
      <xdr:rowOff>76200</xdr:rowOff>
    </xdr:to>
    <xdr:sp macro="" textlink="">
      <xdr:nvSpPr>
        <xdr:cNvPr id="58" name="Line 2037"/>
        <xdr:cNvSpPr>
          <a:spLocks noChangeShapeType="1"/>
        </xdr:cNvSpPr>
      </xdr:nvSpPr>
      <xdr:spPr bwMode="auto">
        <a:xfrm>
          <a:off x="1314450" y="4610100"/>
          <a:ext cx="173355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</xdr:col>
      <xdr:colOff>152400</xdr:colOff>
      <xdr:row>25</xdr:row>
      <xdr:rowOff>76200</xdr:rowOff>
    </xdr:from>
    <xdr:to>
      <xdr:col>3</xdr:col>
      <xdr:colOff>0</xdr:colOff>
      <xdr:row>48</xdr:row>
      <xdr:rowOff>76200</xdr:rowOff>
    </xdr:to>
    <xdr:sp macro="" textlink="">
      <xdr:nvSpPr>
        <xdr:cNvPr id="59" name="Line 2038"/>
        <xdr:cNvSpPr>
          <a:spLocks noChangeShapeType="1"/>
        </xdr:cNvSpPr>
      </xdr:nvSpPr>
      <xdr:spPr bwMode="auto">
        <a:xfrm flipV="1">
          <a:off x="1019175" y="4610100"/>
          <a:ext cx="295275" cy="41624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22</xdr:row>
      <xdr:rowOff>0</xdr:rowOff>
    </xdr:from>
    <xdr:to>
      <xdr:col>17</xdr:col>
      <xdr:colOff>152400</xdr:colOff>
      <xdr:row>22</xdr:row>
      <xdr:rowOff>152400</xdr:rowOff>
    </xdr:to>
    <xdr:sp macro="" textlink="">
      <xdr:nvSpPr>
        <xdr:cNvPr id="60" name="Triangle Triangle"/>
        <xdr:cNvSpPr/>
      </xdr:nvSpPr>
      <xdr:spPr>
        <a:xfrm rot="16200000">
          <a:off x="9982200" y="39909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22</xdr:row>
      <xdr:rowOff>76200</xdr:rowOff>
    </xdr:from>
    <xdr:to>
      <xdr:col>21</xdr:col>
      <xdr:colOff>0</xdr:colOff>
      <xdr:row>22</xdr:row>
      <xdr:rowOff>76200</xdr:rowOff>
    </xdr:to>
    <xdr:sp macro="" textlink="">
      <xdr:nvSpPr>
        <xdr:cNvPr id="61" name="Line 2039"/>
        <xdr:cNvSpPr>
          <a:spLocks noChangeShapeType="1"/>
        </xdr:cNvSpPr>
      </xdr:nvSpPr>
      <xdr:spPr bwMode="auto">
        <a:xfrm>
          <a:off x="10134600" y="406717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22</xdr:row>
      <xdr:rowOff>76200</xdr:rowOff>
    </xdr:from>
    <xdr:to>
      <xdr:col>17</xdr:col>
      <xdr:colOff>0</xdr:colOff>
      <xdr:row>22</xdr:row>
      <xdr:rowOff>76200</xdr:rowOff>
    </xdr:to>
    <xdr:sp macro="" textlink="">
      <xdr:nvSpPr>
        <xdr:cNvPr id="62" name="Line 2040"/>
        <xdr:cNvSpPr>
          <a:spLocks noChangeShapeType="1"/>
        </xdr:cNvSpPr>
      </xdr:nvSpPr>
      <xdr:spPr bwMode="auto">
        <a:xfrm>
          <a:off x="8267700" y="40671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19</xdr:row>
      <xdr:rowOff>76200</xdr:rowOff>
    </xdr:from>
    <xdr:to>
      <xdr:col>15</xdr:col>
      <xdr:colOff>0</xdr:colOff>
      <xdr:row>22</xdr:row>
      <xdr:rowOff>76200</xdr:rowOff>
    </xdr:to>
    <xdr:sp macro="" textlink="">
      <xdr:nvSpPr>
        <xdr:cNvPr id="63" name="Line 2041"/>
        <xdr:cNvSpPr>
          <a:spLocks noChangeShapeType="1"/>
        </xdr:cNvSpPr>
      </xdr:nvSpPr>
      <xdr:spPr bwMode="auto">
        <a:xfrm>
          <a:off x="7972425" y="3524250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152400</xdr:colOff>
      <xdr:row>8</xdr:row>
      <xdr:rowOff>152400</xdr:rowOff>
    </xdr:to>
    <xdr:sp macro="" textlink="">
      <xdr:nvSpPr>
        <xdr:cNvPr id="64" name="Circle Oval"/>
        <xdr:cNvSpPr/>
      </xdr:nvSpPr>
      <xdr:spPr>
        <a:xfrm>
          <a:off x="7820025" y="14573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8</xdr:row>
      <xdr:rowOff>76200</xdr:rowOff>
    </xdr:from>
    <xdr:to>
      <xdr:col>13</xdr:col>
      <xdr:colOff>0</xdr:colOff>
      <xdr:row>8</xdr:row>
      <xdr:rowOff>76200</xdr:rowOff>
    </xdr:to>
    <xdr:sp macro="" textlink="">
      <xdr:nvSpPr>
        <xdr:cNvPr id="65" name="Line 2042"/>
        <xdr:cNvSpPr>
          <a:spLocks noChangeShapeType="1"/>
        </xdr:cNvSpPr>
      </xdr:nvSpPr>
      <xdr:spPr bwMode="auto">
        <a:xfrm>
          <a:off x="5724525" y="1533525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8</xdr:row>
      <xdr:rowOff>76200</xdr:rowOff>
    </xdr:from>
    <xdr:to>
      <xdr:col>11</xdr:col>
      <xdr:colOff>0</xdr:colOff>
      <xdr:row>13</xdr:row>
      <xdr:rowOff>76200</xdr:rowOff>
    </xdr:to>
    <xdr:sp macro="" textlink="">
      <xdr:nvSpPr>
        <xdr:cNvPr id="66" name="Line 2043"/>
        <xdr:cNvSpPr>
          <a:spLocks noChangeShapeType="1"/>
        </xdr:cNvSpPr>
      </xdr:nvSpPr>
      <xdr:spPr bwMode="auto">
        <a:xfrm flipV="1">
          <a:off x="5429250" y="1533525"/>
          <a:ext cx="295275" cy="9048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57</xdr:row>
      <xdr:rowOff>0</xdr:rowOff>
    </xdr:from>
    <xdr:to>
      <xdr:col>21</xdr:col>
      <xdr:colOff>152400</xdr:colOff>
      <xdr:row>57</xdr:row>
      <xdr:rowOff>152400</xdr:rowOff>
    </xdr:to>
    <xdr:sp macro="" textlink="">
      <xdr:nvSpPr>
        <xdr:cNvPr id="67" name="Triangle Triangle"/>
        <xdr:cNvSpPr/>
      </xdr:nvSpPr>
      <xdr:spPr>
        <a:xfrm rot="16200000">
          <a:off x="12144375" y="103251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57</xdr:row>
      <xdr:rowOff>76200</xdr:rowOff>
    </xdr:from>
    <xdr:to>
      <xdr:col>21</xdr:col>
      <xdr:colOff>0</xdr:colOff>
      <xdr:row>57</xdr:row>
      <xdr:rowOff>76200</xdr:rowOff>
    </xdr:to>
    <xdr:sp macro="" textlink="">
      <xdr:nvSpPr>
        <xdr:cNvPr id="68" name="Line 2044"/>
        <xdr:cNvSpPr>
          <a:spLocks noChangeShapeType="1"/>
        </xdr:cNvSpPr>
      </xdr:nvSpPr>
      <xdr:spPr bwMode="auto">
        <a:xfrm>
          <a:off x="10429875" y="104013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54</xdr:row>
      <xdr:rowOff>76200</xdr:rowOff>
    </xdr:from>
    <xdr:to>
      <xdr:col>19</xdr:col>
      <xdr:colOff>0</xdr:colOff>
      <xdr:row>57</xdr:row>
      <xdr:rowOff>76200</xdr:rowOff>
    </xdr:to>
    <xdr:sp macro="" textlink="">
      <xdr:nvSpPr>
        <xdr:cNvPr id="69" name="Line 2045"/>
        <xdr:cNvSpPr>
          <a:spLocks noChangeShapeType="1"/>
        </xdr:cNvSpPr>
      </xdr:nvSpPr>
      <xdr:spPr bwMode="auto">
        <a:xfrm>
          <a:off x="10134600" y="9858375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152400</xdr:colOff>
      <xdr:row>13</xdr:row>
      <xdr:rowOff>152400</xdr:rowOff>
    </xdr:to>
    <xdr:sp macro="" textlink="">
      <xdr:nvSpPr>
        <xdr:cNvPr id="70" name="Square Rectangle"/>
        <xdr:cNvSpPr/>
      </xdr:nvSpPr>
      <xdr:spPr>
        <a:xfrm>
          <a:off x="5276850" y="2362200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13</xdr:row>
      <xdr:rowOff>76200</xdr:rowOff>
    </xdr:from>
    <xdr:to>
      <xdr:col>9</xdr:col>
      <xdr:colOff>0</xdr:colOff>
      <xdr:row>13</xdr:row>
      <xdr:rowOff>76200</xdr:rowOff>
    </xdr:to>
    <xdr:sp macro="" textlink="">
      <xdr:nvSpPr>
        <xdr:cNvPr id="71" name="Line 2046"/>
        <xdr:cNvSpPr>
          <a:spLocks noChangeShapeType="1"/>
        </xdr:cNvSpPr>
      </xdr:nvSpPr>
      <xdr:spPr bwMode="auto">
        <a:xfrm>
          <a:off x="3495675" y="2438400"/>
          <a:ext cx="17811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13</xdr:row>
      <xdr:rowOff>76200</xdr:rowOff>
    </xdr:from>
    <xdr:to>
      <xdr:col>7</xdr:col>
      <xdr:colOff>0</xdr:colOff>
      <xdr:row>25</xdr:row>
      <xdr:rowOff>76200</xdr:rowOff>
    </xdr:to>
    <xdr:sp macro="" textlink="">
      <xdr:nvSpPr>
        <xdr:cNvPr id="72" name="Line 2047"/>
        <xdr:cNvSpPr>
          <a:spLocks noChangeShapeType="1"/>
        </xdr:cNvSpPr>
      </xdr:nvSpPr>
      <xdr:spPr bwMode="auto">
        <a:xfrm flipV="1">
          <a:off x="3200400" y="2438400"/>
          <a:ext cx="295275" cy="21717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152400</xdr:colOff>
      <xdr:row>19</xdr:row>
      <xdr:rowOff>152400</xdr:rowOff>
    </xdr:to>
    <xdr:sp macro="" textlink="">
      <xdr:nvSpPr>
        <xdr:cNvPr id="73" name="Circle Oval"/>
        <xdr:cNvSpPr/>
      </xdr:nvSpPr>
      <xdr:spPr>
        <a:xfrm>
          <a:off x="7820025" y="34480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19</xdr:row>
      <xdr:rowOff>76200</xdr:rowOff>
    </xdr:from>
    <xdr:to>
      <xdr:col>13</xdr:col>
      <xdr:colOff>0</xdr:colOff>
      <xdr:row>19</xdr:row>
      <xdr:rowOff>76200</xdr:rowOff>
    </xdr:to>
    <xdr:sp macro="" textlink="">
      <xdr:nvSpPr>
        <xdr:cNvPr id="74" name="Line 2048"/>
        <xdr:cNvSpPr>
          <a:spLocks noChangeShapeType="1"/>
        </xdr:cNvSpPr>
      </xdr:nvSpPr>
      <xdr:spPr bwMode="auto">
        <a:xfrm>
          <a:off x="5724525" y="3524250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13</xdr:row>
      <xdr:rowOff>76200</xdr:rowOff>
    </xdr:from>
    <xdr:to>
      <xdr:col>11</xdr:col>
      <xdr:colOff>0</xdr:colOff>
      <xdr:row>19</xdr:row>
      <xdr:rowOff>76200</xdr:rowOff>
    </xdr:to>
    <xdr:sp macro="" textlink="">
      <xdr:nvSpPr>
        <xdr:cNvPr id="75" name="Line 2049"/>
        <xdr:cNvSpPr>
          <a:spLocks noChangeShapeType="1"/>
        </xdr:cNvSpPr>
      </xdr:nvSpPr>
      <xdr:spPr bwMode="auto">
        <a:xfrm>
          <a:off x="5429250" y="2438400"/>
          <a:ext cx="295275" cy="10858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52</xdr:row>
      <xdr:rowOff>0</xdr:rowOff>
    </xdr:from>
    <xdr:to>
      <xdr:col>21</xdr:col>
      <xdr:colOff>152400</xdr:colOff>
      <xdr:row>52</xdr:row>
      <xdr:rowOff>152400</xdr:rowOff>
    </xdr:to>
    <xdr:sp macro="" textlink="">
      <xdr:nvSpPr>
        <xdr:cNvPr id="76" name="Triangle Triangle"/>
        <xdr:cNvSpPr/>
      </xdr:nvSpPr>
      <xdr:spPr>
        <a:xfrm rot="16200000">
          <a:off x="12144375" y="94202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52</xdr:row>
      <xdr:rowOff>76200</xdr:rowOff>
    </xdr:from>
    <xdr:to>
      <xdr:col>21</xdr:col>
      <xdr:colOff>0</xdr:colOff>
      <xdr:row>52</xdr:row>
      <xdr:rowOff>76200</xdr:rowOff>
    </xdr:to>
    <xdr:sp macro="" textlink="">
      <xdr:nvSpPr>
        <xdr:cNvPr id="77" name="Line 2050"/>
        <xdr:cNvSpPr>
          <a:spLocks noChangeShapeType="1"/>
        </xdr:cNvSpPr>
      </xdr:nvSpPr>
      <xdr:spPr bwMode="auto">
        <a:xfrm>
          <a:off x="10429875" y="94964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52</xdr:row>
      <xdr:rowOff>76200</xdr:rowOff>
    </xdr:from>
    <xdr:to>
      <xdr:col>19</xdr:col>
      <xdr:colOff>0</xdr:colOff>
      <xdr:row>54</xdr:row>
      <xdr:rowOff>76200</xdr:rowOff>
    </xdr:to>
    <xdr:sp macro="" textlink="">
      <xdr:nvSpPr>
        <xdr:cNvPr id="78" name="Line 2051"/>
        <xdr:cNvSpPr>
          <a:spLocks noChangeShapeType="1"/>
        </xdr:cNvSpPr>
      </xdr:nvSpPr>
      <xdr:spPr bwMode="auto">
        <a:xfrm flipV="1">
          <a:off x="10134600" y="9496425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152400</xdr:colOff>
      <xdr:row>38</xdr:row>
      <xdr:rowOff>152400</xdr:rowOff>
    </xdr:to>
    <xdr:sp macro="" textlink="">
      <xdr:nvSpPr>
        <xdr:cNvPr id="79" name="Square Rectangle"/>
        <xdr:cNvSpPr/>
      </xdr:nvSpPr>
      <xdr:spPr>
        <a:xfrm>
          <a:off x="5276850" y="6886575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38</xdr:row>
      <xdr:rowOff>76200</xdr:rowOff>
    </xdr:from>
    <xdr:to>
      <xdr:col>9</xdr:col>
      <xdr:colOff>0</xdr:colOff>
      <xdr:row>38</xdr:row>
      <xdr:rowOff>76200</xdr:rowOff>
    </xdr:to>
    <xdr:sp macro="" textlink="">
      <xdr:nvSpPr>
        <xdr:cNvPr id="80" name="Line 2052"/>
        <xdr:cNvSpPr>
          <a:spLocks noChangeShapeType="1"/>
        </xdr:cNvSpPr>
      </xdr:nvSpPr>
      <xdr:spPr bwMode="auto">
        <a:xfrm>
          <a:off x="3495675" y="6962775"/>
          <a:ext cx="17811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25</xdr:row>
      <xdr:rowOff>76200</xdr:rowOff>
    </xdr:from>
    <xdr:to>
      <xdr:col>7</xdr:col>
      <xdr:colOff>0</xdr:colOff>
      <xdr:row>38</xdr:row>
      <xdr:rowOff>76200</xdr:rowOff>
    </xdr:to>
    <xdr:sp macro="" textlink="">
      <xdr:nvSpPr>
        <xdr:cNvPr id="81" name="Line 2053"/>
        <xdr:cNvSpPr>
          <a:spLocks noChangeShapeType="1"/>
        </xdr:cNvSpPr>
      </xdr:nvSpPr>
      <xdr:spPr bwMode="auto">
        <a:xfrm>
          <a:off x="3200400" y="4610100"/>
          <a:ext cx="295275" cy="23526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152400</xdr:colOff>
      <xdr:row>32</xdr:row>
      <xdr:rowOff>152400</xdr:rowOff>
    </xdr:to>
    <xdr:sp macro="" textlink="">
      <xdr:nvSpPr>
        <xdr:cNvPr id="82" name="Triangle Triangle"/>
        <xdr:cNvSpPr/>
      </xdr:nvSpPr>
      <xdr:spPr>
        <a:xfrm rot="16200000">
          <a:off x="12144375" y="58007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32</xdr:row>
      <xdr:rowOff>76200</xdr:rowOff>
    </xdr:from>
    <xdr:to>
      <xdr:col>21</xdr:col>
      <xdr:colOff>0</xdr:colOff>
      <xdr:row>32</xdr:row>
      <xdr:rowOff>76200</xdr:rowOff>
    </xdr:to>
    <xdr:sp macro="" textlink="">
      <xdr:nvSpPr>
        <xdr:cNvPr id="83" name="Line 2054"/>
        <xdr:cNvSpPr>
          <a:spLocks noChangeShapeType="1"/>
        </xdr:cNvSpPr>
      </xdr:nvSpPr>
      <xdr:spPr bwMode="auto">
        <a:xfrm>
          <a:off x="10429875" y="58769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29</xdr:row>
      <xdr:rowOff>76200</xdr:rowOff>
    </xdr:from>
    <xdr:to>
      <xdr:col>19</xdr:col>
      <xdr:colOff>0</xdr:colOff>
      <xdr:row>32</xdr:row>
      <xdr:rowOff>76200</xdr:rowOff>
    </xdr:to>
    <xdr:sp macro="" textlink="">
      <xdr:nvSpPr>
        <xdr:cNvPr id="84" name="Line 2055"/>
        <xdr:cNvSpPr>
          <a:spLocks noChangeShapeType="1"/>
        </xdr:cNvSpPr>
      </xdr:nvSpPr>
      <xdr:spPr bwMode="auto">
        <a:xfrm>
          <a:off x="10134600" y="5334000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27</xdr:row>
      <xdr:rowOff>0</xdr:rowOff>
    </xdr:from>
    <xdr:to>
      <xdr:col>21</xdr:col>
      <xdr:colOff>152400</xdr:colOff>
      <xdr:row>27</xdr:row>
      <xdr:rowOff>152400</xdr:rowOff>
    </xdr:to>
    <xdr:sp macro="" textlink="">
      <xdr:nvSpPr>
        <xdr:cNvPr id="85" name="Triangle Triangle"/>
        <xdr:cNvSpPr/>
      </xdr:nvSpPr>
      <xdr:spPr>
        <a:xfrm rot="16200000">
          <a:off x="12144375" y="48958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27</xdr:row>
      <xdr:rowOff>76200</xdr:rowOff>
    </xdr:from>
    <xdr:to>
      <xdr:col>21</xdr:col>
      <xdr:colOff>0</xdr:colOff>
      <xdr:row>27</xdr:row>
      <xdr:rowOff>76200</xdr:rowOff>
    </xdr:to>
    <xdr:sp macro="" textlink="">
      <xdr:nvSpPr>
        <xdr:cNvPr id="86" name="Line 2056"/>
        <xdr:cNvSpPr>
          <a:spLocks noChangeShapeType="1"/>
        </xdr:cNvSpPr>
      </xdr:nvSpPr>
      <xdr:spPr bwMode="auto">
        <a:xfrm>
          <a:off x="10429875" y="49720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27</xdr:row>
      <xdr:rowOff>76200</xdr:rowOff>
    </xdr:from>
    <xdr:to>
      <xdr:col>19</xdr:col>
      <xdr:colOff>0</xdr:colOff>
      <xdr:row>29</xdr:row>
      <xdr:rowOff>76200</xdr:rowOff>
    </xdr:to>
    <xdr:sp macro="" textlink="">
      <xdr:nvSpPr>
        <xdr:cNvPr id="87" name="Line 2057"/>
        <xdr:cNvSpPr>
          <a:spLocks noChangeShapeType="1"/>
        </xdr:cNvSpPr>
      </xdr:nvSpPr>
      <xdr:spPr bwMode="auto">
        <a:xfrm flipV="1">
          <a:off x="10134600" y="497205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42</xdr:row>
      <xdr:rowOff>0</xdr:rowOff>
    </xdr:from>
    <xdr:to>
      <xdr:col>17</xdr:col>
      <xdr:colOff>152400</xdr:colOff>
      <xdr:row>42</xdr:row>
      <xdr:rowOff>152400</xdr:rowOff>
    </xdr:to>
    <xdr:sp macro="" textlink="">
      <xdr:nvSpPr>
        <xdr:cNvPr id="88" name="Triangle Triangle"/>
        <xdr:cNvSpPr/>
      </xdr:nvSpPr>
      <xdr:spPr>
        <a:xfrm rot="16200000">
          <a:off x="9982200" y="76104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42</xdr:row>
      <xdr:rowOff>76200</xdr:rowOff>
    </xdr:from>
    <xdr:to>
      <xdr:col>21</xdr:col>
      <xdr:colOff>0</xdr:colOff>
      <xdr:row>42</xdr:row>
      <xdr:rowOff>76200</xdr:rowOff>
    </xdr:to>
    <xdr:sp macro="" textlink="">
      <xdr:nvSpPr>
        <xdr:cNvPr id="89" name="Line 2058"/>
        <xdr:cNvSpPr>
          <a:spLocks noChangeShapeType="1"/>
        </xdr:cNvSpPr>
      </xdr:nvSpPr>
      <xdr:spPr bwMode="auto">
        <a:xfrm>
          <a:off x="10134600" y="768667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42</xdr:row>
      <xdr:rowOff>76200</xdr:rowOff>
    </xdr:from>
    <xdr:to>
      <xdr:col>17</xdr:col>
      <xdr:colOff>0</xdr:colOff>
      <xdr:row>42</xdr:row>
      <xdr:rowOff>76200</xdr:rowOff>
    </xdr:to>
    <xdr:sp macro="" textlink="">
      <xdr:nvSpPr>
        <xdr:cNvPr id="90" name="Line 2059"/>
        <xdr:cNvSpPr>
          <a:spLocks noChangeShapeType="1"/>
        </xdr:cNvSpPr>
      </xdr:nvSpPr>
      <xdr:spPr bwMode="auto">
        <a:xfrm>
          <a:off x="8267700" y="76866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42</xdr:row>
      <xdr:rowOff>76200</xdr:rowOff>
    </xdr:from>
    <xdr:to>
      <xdr:col>15</xdr:col>
      <xdr:colOff>0</xdr:colOff>
      <xdr:row>44</xdr:row>
      <xdr:rowOff>76200</xdr:rowOff>
    </xdr:to>
    <xdr:sp macro="" textlink="">
      <xdr:nvSpPr>
        <xdr:cNvPr id="91" name="Line 2060"/>
        <xdr:cNvSpPr>
          <a:spLocks noChangeShapeType="1"/>
        </xdr:cNvSpPr>
      </xdr:nvSpPr>
      <xdr:spPr bwMode="auto">
        <a:xfrm flipV="1">
          <a:off x="7972425" y="7686675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37</xdr:row>
      <xdr:rowOff>0</xdr:rowOff>
    </xdr:from>
    <xdr:to>
      <xdr:col>17</xdr:col>
      <xdr:colOff>152400</xdr:colOff>
      <xdr:row>37</xdr:row>
      <xdr:rowOff>152400</xdr:rowOff>
    </xdr:to>
    <xdr:sp macro="" textlink="">
      <xdr:nvSpPr>
        <xdr:cNvPr id="92" name="Triangle Triangle"/>
        <xdr:cNvSpPr/>
      </xdr:nvSpPr>
      <xdr:spPr>
        <a:xfrm rot="16200000">
          <a:off x="9982200" y="67056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37</xdr:row>
      <xdr:rowOff>76200</xdr:rowOff>
    </xdr:from>
    <xdr:to>
      <xdr:col>21</xdr:col>
      <xdr:colOff>0</xdr:colOff>
      <xdr:row>37</xdr:row>
      <xdr:rowOff>76200</xdr:rowOff>
    </xdr:to>
    <xdr:sp macro="" textlink="">
      <xdr:nvSpPr>
        <xdr:cNvPr id="93" name="Line 2061"/>
        <xdr:cNvSpPr>
          <a:spLocks noChangeShapeType="1"/>
        </xdr:cNvSpPr>
      </xdr:nvSpPr>
      <xdr:spPr bwMode="auto">
        <a:xfrm>
          <a:off x="10134600" y="678180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37</xdr:row>
      <xdr:rowOff>76200</xdr:rowOff>
    </xdr:from>
    <xdr:to>
      <xdr:col>17</xdr:col>
      <xdr:colOff>0</xdr:colOff>
      <xdr:row>37</xdr:row>
      <xdr:rowOff>76200</xdr:rowOff>
    </xdr:to>
    <xdr:sp macro="" textlink="">
      <xdr:nvSpPr>
        <xdr:cNvPr id="94" name="Line 2062"/>
        <xdr:cNvSpPr>
          <a:spLocks noChangeShapeType="1"/>
        </xdr:cNvSpPr>
      </xdr:nvSpPr>
      <xdr:spPr bwMode="auto">
        <a:xfrm>
          <a:off x="8267700" y="67818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33</xdr:row>
      <xdr:rowOff>76200</xdr:rowOff>
    </xdr:from>
    <xdr:to>
      <xdr:col>15</xdr:col>
      <xdr:colOff>0</xdr:colOff>
      <xdr:row>37</xdr:row>
      <xdr:rowOff>76200</xdr:rowOff>
    </xdr:to>
    <xdr:sp macro="" textlink="">
      <xdr:nvSpPr>
        <xdr:cNvPr id="95" name="Line 2063"/>
        <xdr:cNvSpPr>
          <a:spLocks noChangeShapeType="1"/>
        </xdr:cNvSpPr>
      </xdr:nvSpPr>
      <xdr:spPr bwMode="auto">
        <a:xfrm>
          <a:off x="7972425" y="6057900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29</xdr:row>
      <xdr:rowOff>0</xdr:rowOff>
    </xdr:from>
    <xdr:to>
      <xdr:col>17</xdr:col>
      <xdr:colOff>152400</xdr:colOff>
      <xdr:row>29</xdr:row>
      <xdr:rowOff>152400</xdr:rowOff>
    </xdr:to>
    <xdr:sp macro="" textlink="">
      <xdr:nvSpPr>
        <xdr:cNvPr id="96" name="Circle Oval"/>
        <xdr:cNvSpPr/>
      </xdr:nvSpPr>
      <xdr:spPr>
        <a:xfrm>
          <a:off x="9982200" y="52578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29</xdr:row>
      <xdr:rowOff>76200</xdr:rowOff>
    </xdr:from>
    <xdr:to>
      <xdr:col>17</xdr:col>
      <xdr:colOff>0</xdr:colOff>
      <xdr:row>29</xdr:row>
      <xdr:rowOff>76200</xdr:rowOff>
    </xdr:to>
    <xdr:sp macro="" textlink="">
      <xdr:nvSpPr>
        <xdr:cNvPr id="97" name="Line 2064"/>
        <xdr:cNvSpPr>
          <a:spLocks noChangeShapeType="1"/>
        </xdr:cNvSpPr>
      </xdr:nvSpPr>
      <xdr:spPr bwMode="auto">
        <a:xfrm>
          <a:off x="8267700" y="53340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29</xdr:row>
      <xdr:rowOff>76200</xdr:rowOff>
    </xdr:from>
    <xdr:to>
      <xdr:col>15</xdr:col>
      <xdr:colOff>0</xdr:colOff>
      <xdr:row>33</xdr:row>
      <xdr:rowOff>76200</xdr:rowOff>
    </xdr:to>
    <xdr:sp macro="" textlink="">
      <xdr:nvSpPr>
        <xdr:cNvPr id="98" name="Line 2065"/>
        <xdr:cNvSpPr>
          <a:spLocks noChangeShapeType="1"/>
        </xdr:cNvSpPr>
      </xdr:nvSpPr>
      <xdr:spPr bwMode="auto">
        <a:xfrm flipV="1">
          <a:off x="7972425" y="5334000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47</xdr:row>
      <xdr:rowOff>0</xdr:rowOff>
    </xdr:from>
    <xdr:to>
      <xdr:col>17</xdr:col>
      <xdr:colOff>152400</xdr:colOff>
      <xdr:row>47</xdr:row>
      <xdr:rowOff>152400</xdr:rowOff>
    </xdr:to>
    <xdr:sp macro="" textlink="">
      <xdr:nvSpPr>
        <xdr:cNvPr id="99" name="Triangle Triangle"/>
        <xdr:cNvSpPr/>
      </xdr:nvSpPr>
      <xdr:spPr>
        <a:xfrm rot="16200000">
          <a:off x="9982200" y="85153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47</xdr:row>
      <xdr:rowOff>76200</xdr:rowOff>
    </xdr:from>
    <xdr:to>
      <xdr:col>21</xdr:col>
      <xdr:colOff>0</xdr:colOff>
      <xdr:row>47</xdr:row>
      <xdr:rowOff>76200</xdr:rowOff>
    </xdr:to>
    <xdr:sp macro="" textlink="">
      <xdr:nvSpPr>
        <xdr:cNvPr id="100" name="Line 2066"/>
        <xdr:cNvSpPr>
          <a:spLocks noChangeShapeType="1"/>
        </xdr:cNvSpPr>
      </xdr:nvSpPr>
      <xdr:spPr bwMode="auto">
        <a:xfrm>
          <a:off x="10134600" y="859155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47</xdr:row>
      <xdr:rowOff>76200</xdr:rowOff>
    </xdr:from>
    <xdr:to>
      <xdr:col>17</xdr:col>
      <xdr:colOff>0</xdr:colOff>
      <xdr:row>47</xdr:row>
      <xdr:rowOff>76200</xdr:rowOff>
    </xdr:to>
    <xdr:sp macro="" textlink="">
      <xdr:nvSpPr>
        <xdr:cNvPr id="101" name="Line 2067"/>
        <xdr:cNvSpPr>
          <a:spLocks noChangeShapeType="1"/>
        </xdr:cNvSpPr>
      </xdr:nvSpPr>
      <xdr:spPr bwMode="auto">
        <a:xfrm>
          <a:off x="8267700" y="85915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44</xdr:row>
      <xdr:rowOff>76200</xdr:rowOff>
    </xdr:from>
    <xdr:to>
      <xdr:col>15</xdr:col>
      <xdr:colOff>0</xdr:colOff>
      <xdr:row>47</xdr:row>
      <xdr:rowOff>76200</xdr:rowOff>
    </xdr:to>
    <xdr:sp macro="" textlink="">
      <xdr:nvSpPr>
        <xdr:cNvPr id="102" name="Line 2068"/>
        <xdr:cNvSpPr>
          <a:spLocks noChangeShapeType="1"/>
        </xdr:cNvSpPr>
      </xdr:nvSpPr>
      <xdr:spPr bwMode="auto">
        <a:xfrm>
          <a:off x="7972425" y="8048625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33</xdr:row>
      <xdr:rowOff>0</xdr:rowOff>
    </xdr:from>
    <xdr:to>
      <xdr:col>13</xdr:col>
      <xdr:colOff>152400</xdr:colOff>
      <xdr:row>33</xdr:row>
      <xdr:rowOff>152400</xdr:rowOff>
    </xdr:to>
    <xdr:sp macro="" textlink="">
      <xdr:nvSpPr>
        <xdr:cNvPr id="103" name="Circle Oval"/>
        <xdr:cNvSpPr/>
      </xdr:nvSpPr>
      <xdr:spPr>
        <a:xfrm>
          <a:off x="7820025" y="59817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33</xdr:row>
      <xdr:rowOff>76200</xdr:rowOff>
    </xdr:from>
    <xdr:to>
      <xdr:col>13</xdr:col>
      <xdr:colOff>0</xdr:colOff>
      <xdr:row>33</xdr:row>
      <xdr:rowOff>76200</xdr:rowOff>
    </xdr:to>
    <xdr:sp macro="" textlink="">
      <xdr:nvSpPr>
        <xdr:cNvPr id="104" name="Line 2069"/>
        <xdr:cNvSpPr>
          <a:spLocks noChangeShapeType="1"/>
        </xdr:cNvSpPr>
      </xdr:nvSpPr>
      <xdr:spPr bwMode="auto">
        <a:xfrm>
          <a:off x="5724525" y="6057900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33</xdr:row>
      <xdr:rowOff>76200</xdr:rowOff>
    </xdr:from>
    <xdr:to>
      <xdr:col>11</xdr:col>
      <xdr:colOff>0</xdr:colOff>
      <xdr:row>38</xdr:row>
      <xdr:rowOff>76200</xdr:rowOff>
    </xdr:to>
    <xdr:sp macro="" textlink="">
      <xdr:nvSpPr>
        <xdr:cNvPr id="105" name="Line 2070"/>
        <xdr:cNvSpPr>
          <a:spLocks noChangeShapeType="1"/>
        </xdr:cNvSpPr>
      </xdr:nvSpPr>
      <xdr:spPr bwMode="auto">
        <a:xfrm flipV="1">
          <a:off x="5429250" y="6057900"/>
          <a:ext cx="295275" cy="9048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152400</xdr:colOff>
      <xdr:row>44</xdr:row>
      <xdr:rowOff>152400</xdr:rowOff>
    </xdr:to>
    <xdr:sp macro="" textlink="">
      <xdr:nvSpPr>
        <xdr:cNvPr id="106" name="Circle Oval"/>
        <xdr:cNvSpPr/>
      </xdr:nvSpPr>
      <xdr:spPr>
        <a:xfrm>
          <a:off x="7820025" y="79724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44</xdr:row>
      <xdr:rowOff>76200</xdr:rowOff>
    </xdr:from>
    <xdr:to>
      <xdr:col>13</xdr:col>
      <xdr:colOff>0</xdr:colOff>
      <xdr:row>44</xdr:row>
      <xdr:rowOff>76200</xdr:rowOff>
    </xdr:to>
    <xdr:sp macro="" textlink="">
      <xdr:nvSpPr>
        <xdr:cNvPr id="107" name="Line 2071"/>
        <xdr:cNvSpPr>
          <a:spLocks noChangeShapeType="1"/>
        </xdr:cNvSpPr>
      </xdr:nvSpPr>
      <xdr:spPr bwMode="auto">
        <a:xfrm>
          <a:off x="5724525" y="8048625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38</xdr:row>
      <xdr:rowOff>76200</xdr:rowOff>
    </xdr:from>
    <xdr:to>
      <xdr:col>11</xdr:col>
      <xdr:colOff>0</xdr:colOff>
      <xdr:row>44</xdr:row>
      <xdr:rowOff>76200</xdr:rowOff>
    </xdr:to>
    <xdr:sp macro="" textlink="">
      <xdr:nvSpPr>
        <xdr:cNvPr id="108" name="Line 2072"/>
        <xdr:cNvSpPr>
          <a:spLocks noChangeShapeType="1"/>
        </xdr:cNvSpPr>
      </xdr:nvSpPr>
      <xdr:spPr bwMode="auto">
        <a:xfrm>
          <a:off x="5429250" y="6962775"/>
          <a:ext cx="295275" cy="10858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152400</xdr:colOff>
      <xdr:row>48</xdr:row>
      <xdr:rowOff>152400</xdr:rowOff>
    </xdr:to>
    <xdr:sp macro="" textlink="">
      <xdr:nvSpPr>
        <xdr:cNvPr id="109" name="Square Rectangle"/>
        <xdr:cNvSpPr/>
      </xdr:nvSpPr>
      <xdr:spPr>
        <a:xfrm>
          <a:off x="866775" y="8696325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48</xdr:row>
      <xdr:rowOff>76200</xdr:rowOff>
    </xdr:from>
    <xdr:to>
      <xdr:col>1</xdr:col>
      <xdr:colOff>0</xdr:colOff>
      <xdr:row>48</xdr:row>
      <xdr:rowOff>76200</xdr:rowOff>
    </xdr:to>
    <xdr:sp macro="" textlink="">
      <xdr:nvSpPr>
        <xdr:cNvPr id="110" name="Line 2073"/>
        <xdr:cNvSpPr>
          <a:spLocks noChangeShapeType="1"/>
        </xdr:cNvSpPr>
      </xdr:nvSpPr>
      <xdr:spPr bwMode="auto">
        <a:xfrm>
          <a:off x="0" y="8772525"/>
          <a:ext cx="8667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161925</xdr:colOff>
      <xdr:row>9</xdr:row>
      <xdr:rowOff>190500</xdr:rowOff>
    </xdr:from>
    <xdr:to>
      <xdr:col>7</xdr:col>
      <xdr:colOff>400050</xdr:colOff>
      <xdr:row>11</xdr:row>
      <xdr:rowOff>0</xdr:rowOff>
    </xdr:to>
    <xdr:sp macro="" textlink="">
      <xdr:nvSpPr>
        <xdr:cNvPr id="2" name="1 Flecha derecha"/>
        <xdr:cNvSpPr/>
      </xdr:nvSpPr>
      <xdr:spPr>
        <a:xfrm>
          <a:off x="6296025" y="1457325"/>
          <a:ext cx="238125" cy="30480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15</xdr:row>
      <xdr:rowOff>314325</xdr:rowOff>
    </xdr:from>
    <xdr:to>
      <xdr:col>5</xdr:col>
      <xdr:colOff>333375</xdr:colOff>
      <xdr:row>17</xdr:row>
      <xdr:rowOff>9525</xdr:rowOff>
    </xdr:to>
    <xdr:sp macro="" textlink="">
      <xdr:nvSpPr>
        <xdr:cNvPr id="2" name="1 Flecha derecha"/>
        <xdr:cNvSpPr/>
      </xdr:nvSpPr>
      <xdr:spPr>
        <a:xfrm>
          <a:off x="39462075" y="504825"/>
          <a:ext cx="238125" cy="45720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238125</xdr:colOff>
      <xdr:row>28</xdr:row>
      <xdr:rowOff>228600</xdr:rowOff>
    </xdr:from>
    <xdr:to>
      <xdr:col>6</xdr:col>
      <xdr:colOff>476250</xdr:colOff>
      <xdr:row>30</xdr:row>
      <xdr:rowOff>0</xdr:rowOff>
    </xdr:to>
    <xdr:sp macro="" textlink="">
      <xdr:nvSpPr>
        <xdr:cNvPr id="3" name="2 Flecha derecha"/>
        <xdr:cNvSpPr/>
      </xdr:nvSpPr>
      <xdr:spPr>
        <a:xfrm>
          <a:off x="7058025" y="5467350"/>
          <a:ext cx="238125" cy="26670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723899</xdr:colOff>
      <xdr:row>1</xdr:row>
      <xdr:rowOff>47625</xdr:rowOff>
    </xdr:from>
    <xdr:to>
      <xdr:col>4</xdr:col>
      <xdr:colOff>180974</xdr:colOff>
      <xdr:row>2</xdr:row>
      <xdr:rowOff>180975</xdr:rowOff>
    </xdr:to>
    <xdr:sp macro="" textlink="">
      <xdr:nvSpPr>
        <xdr:cNvPr id="2" name="1 Flecha derecha"/>
        <xdr:cNvSpPr/>
      </xdr:nvSpPr>
      <xdr:spPr>
        <a:xfrm>
          <a:off x="2657474" y="533400"/>
          <a:ext cx="266700" cy="38100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761999</xdr:colOff>
      <xdr:row>5</xdr:row>
      <xdr:rowOff>28575</xdr:rowOff>
    </xdr:from>
    <xdr:to>
      <xdr:col>4</xdr:col>
      <xdr:colOff>180974</xdr:colOff>
      <xdr:row>6</xdr:row>
      <xdr:rowOff>161925</xdr:rowOff>
    </xdr:to>
    <xdr:sp macro="" textlink="">
      <xdr:nvSpPr>
        <xdr:cNvPr id="4" name="3 Flecha derecha"/>
        <xdr:cNvSpPr/>
      </xdr:nvSpPr>
      <xdr:spPr>
        <a:xfrm>
          <a:off x="2971799" y="352425"/>
          <a:ext cx="257175" cy="32385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761999</xdr:colOff>
      <xdr:row>10</xdr:row>
      <xdr:rowOff>28575</xdr:rowOff>
    </xdr:from>
    <xdr:to>
      <xdr:col>4</xdr:col>
      <xdr:colOff>180974</xdr:colOff>
      <xdr:row>11</xdr:row>
      <xdr:rowOff>161925</xdr:rowOff>
    </xdr:to>
    <xdr:sp macro="" textlink="">
      <xdr:nvSpPr>
        <xdr:cNvPr id="5" name="4 Flecha derecha"/>
        <xdr:cNvSpPr/>
      </xdr:nvSpPr>
      <xdr:spPr>
        <a:xfrm>
          <a:off x="3124199" y="1247775"/>
          <a:ext cx="257175" cy="32385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114300</xdr:colOff>
      <xdr:row>14</xdr:row>
      <xdr:rowOff>19050</xdr:rowOff>
    </xdr:from>
    <xdr:to>
      <xdr:col>2</xdr:col>
      <xdr:colOff>295274</xdr:colOff>
      <xdr:row>15</xdr:row>
      <xdr:rowOff>152400</xdr:rowOff>
    </xdr:to>
    <xdr:sp macro="" textlink="">
      <xdr:nvSpPr>
        <xdr:cNvPr id="6" name="5 Flecha derecha"/>
        <xdr:cNvSpPr/>
      </xdr:nvSpPr>
      <xdr:spPr>
        <a:xfrm>
          <a:off x="1638300" y="3219450"/>
          <a:ext cx="180974" cy="32385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676276</xdr:colOff>
      <xdr:row>1</xdr:row>
      <xdr:rowOff>28575</xdr:rowOff>
    </xdr:from>
    <xdr:to>
      <xdr:col>11</xdr:col>
      <xdr:colOff>180975</xdr:colOff>
      <xdr:row>2</xdr:row>
      <xdr:rowOff>161925</xdr:rowOff>
    </xdr:to>
    <xdr:sp macro="" textlink="">
      <xdr:nvSpPr>
        <xdr:cNvPr id="8" name="7 Flecha derecha"/>
        <xdr:cNvSpPr/>
      </xdr:nvSpPr>
      <xdr:spPr>
        <a:xfrm>
          <a:off x="7562851" y="514350"/>
          <a:ext cx="257174" cy="38100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676276</xdr:colOff>
      <xdr:row>5</xdr:row>
      <xdr:rowOff>28575</xdr:rowOff>
    </xdr:from>
    <xdr:to>
      <xdr:col>11</xdr:col>
      <xdr:colOff>180975</xdr:colOff>
      <xdr:row>6</xdr:row>
      <xdr:rowOff>161925</xdr:rowOff>
    </xdr:to>
    <xdr:sp macro="" textlink="">
      <xdr:nvSpPr>
        <xdr:cNvPr id="9" name="8 Flecha derecha"/>
        <xdr:cNvSpPr/>
      </xdr:nvSpPr>
      <xdr:spPr>
        <a:xfrm>
          <a:off x="7562851" y="1685925"/>
          <a:ext cx="257174" cy="38100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714376</xdr:colOff>
      <xdr:row>10</xdr:row>
      <xdr:rowOff>28575</xdr:rowOff>
    </xdr:from>
    <xdr:to>
      <xdr:col>11</xdr:col>
      <xdr:colOff>180975</xdr:colOff>
      <xdr:row>11</xdr:row>
      <xdr:rowOff>161925</xdr:rowOff>
    </xdr:to>
    <xdr:sp macro="" textlink="">
      <xdr:nvSpPr>
        <xdr:cNvPr id="10" name="9 Flecha derecha"/>
        <xdr:cNvSpPr/>
      </xdr:nvSpPr>
      <xdr:spPr>
        <a:xfrm>
          <a:off x="7600951" y="3048000"/>
          <a:ext cx="219074" cy="38100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114300</xdr:colOff>
      <xdr:row>14</xdr:row>
      <xdr:rowOff>19050</xdr:rowOff>
    </xdr:from>
    <xdr:to>
      <xdr:col>9</xdr:col>
      <xdr:colOff>295274</xdr:colOff>
      <xdr:row>15</xdr:row>
      <xdr:rowOff>152400</xdr:rowOff>
    </xdr:to>
    <xdr:sp macro="" textlink="">
      <xdr:nvSpPr>
        <xdr:cNvPr id="11" name="10 Flecha derecha"/>
        <xdr:cNvSpPr/>
      </xdr:nvSpPr>
      <xdr:spPr>
        <a:xfrm>
          <a:off x="1638300" y="3219450"/>
          <a:ext cx="180974" cy="32385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685800</xdr:colOff>
      <xdr:row>19</xdr:row>
      <xdr:rowOff>28575</xdr:rowOff>
    </xdr:from>
    <xdr:to>
      <xdr:col>11</xdr:col>
      <xdr:colOff>180974</xdr:colOff>
      <xdr:row>20</xdr:row>
      <xdr:rowOff>161925</xdr:rowOff>
    </xdr:to>
    <xdr:sp macro="" textlink="">
      <xdr:nvSpPr>
        <xdr:cNvPr id="12" name="11 Flecha derecha"/>
        <xdr:cNvSpPr/>
      </xdr:nvSpPr>
      <xdr:spPr>
        <a:xfrm>
          <a:off x="7467600" y="5419725"/>
          <a:ext cx="247649" cy="38100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761999</xdr:colOff>
      <xdr:row>1</xdr:row>
      <xdr:rowOff>28575</xdr:rowOff>
    </xdr:from>
    <xdr:to>
      <xdr:col>18</xdr:col>
      <xdr:colOff>180974</xdr:colOff>
      <xdr:row>2</xdr:row>
      <xdr:rowOff>161925</xdr:rowOff>
    </xdr:to>
    <xdr:sp macro="" textlink="">
      <xdr:nvSpPr>
        <xdr:cNvPr id="13" name="12 Flecha derecha"/>
        <xdr:cNvSpPr/>
      </xdr:nvSpPr>
      <xdr:spPr>
        <a:xfrm>
          <a:off x="7924799" y="1571625"/>
          <a:ext cx="257175" cy="32385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761999</xdr:colOff>
      <xdr:row>5</xdr:row>
      <xdr:rowOff>28575</xdr:rowOff>
    </xdr:from>
    <xdr:to>
      <xdr:col>18</xdr:col>
      <xdr:colOff>180974</xdr:colOff>
      <xdr:row>6</xdr:row>
      <xdr:rowOff>161925</xdr:rowOff>
    </xdr:to>
    <xdr:sp macro="" textlink="">
      <xdr:nvSpPr>
        <xdr:cNvPr id="14" name="13 Flecha derecha"/>
        <xdr:cNvSpPr/>
      </xdr:nvSpPr>
      <xdr:spPr>
        <a:xfrm>
          <a:off x="13439774" y="514350"/>
          <a:ext cx="257175" cy="32385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761999</xdr:colOff>
      <xdr:row>10</xdr:row>
      <xdr:rowOff>28575</xdr:rowOff>
    </xdr:from>
    <xdr:to>
      <xdr:col>18</xdr:col>
      <xdr:colOff>180974</xdr:colOff>
      <xdr:row>11</xdr:row>
      <xdr:rowOff>161925</xdr:rowOff>
    </xdr:to>
    <xdr:sp macro="" textlink="">
      <xdr:nvSpPr>
        <xdr:cNvPr id="15" name="14 Flecha derecha"/>
        <xdr:cNvSpPr/>
      </xdr:nvSpPr>
      <xdr:spPr>
        <a:xfrm>
          <a:off x="13439774" y="1571625"/>
          <a:ext cx="257175" cy="32385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114300</xdr:colOff>
      <xdr:row>14</xdr:row>
      <xdr:rowOff>19050</xdr:rowOff>
    </xdr:from>
    <xdr:to>
      <xdr:col>16</xdr:col>
      <xdr:colOff>295274</xdr:colOff>
      <xdr:row>15</xdr:row>
      <xdr:rowOff>152400</xdr:rowOff>
    </xdr:to>
    <xdr:sp macro="" textlink="">
      <xdr:nvSpPr>
        <xdr:cNvPr id="16" name="15 Flecha derecha"/>
        <xdr:cNvSpPr/>
      </xdr:nvSpPr>
      <xdr:spPr>
        <a:xfrm>
          <a:off x="6419850" y="3705225"/>
          <a:ext cx="180974" cy="32385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761999</xdr:colOff>
      <xdr:row>19</xdr:row>
      <xdr:rowOff>28575</xdr:rowOff>
    </xdr:from>
    <xdr:to>
      <xdr:col>18</xdr:col>
      <xdr:colOff>180974</xdr:colOff>
      <xdr:row>20</xdr:row>
      <xdr:rowOff>161925</xdr:rowOff>
    </xdr:to>
    <xdr:sp macro="" textlink="">
      <xdr:nvSpPr>
        <xdr:cNvPr id="17" name="16 Flecha derecha"/>
        <xdr:cNvSpPr/>
      </xdr:nvSpPr>
      <xdr:spPr>
        <a:xfrm>
          <a:off x="13011149" y="1571625"/>
          <a:ext cx="257175" cy="32385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761999</xdr:colOff>
      <xdr:row>23</xdr:row>
      <xdr:rowOff>28575</xdr:rowOff>
    </xdr:from>
    <xdr:to>
      <xdr:col>18</xdr:col>
      <xdr:colOff>180974</xdr:colOff>
      <xdr:row>24</xdr:row>
      <xdr:rowOff>161925</xdr:rowOff>
    </xdr:to>
    <xdr:sp macro="" textlink="">
      <xdr:nvSpPr>
        <xdr:cNvPr id="18" name="17 Flecha derecha"/>
        <xdr:cNvSpPr/>
      </xdr:nvSpPr>
      <xdr:spPr>
        <a:xfrm>
          <a:off x="13011149" y="4962525"/>
          <a:ext cx="257175" cy="32385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66675</xdr:colOff>
      <xdr:row>28</xdr:row>
      <xdr:rowOff>28575</xdr:rowOff>
    </xdr:from>
    <xdr:to>
      <xdr:col>16</xdr:col>
      <xdr:colOff>247649</xdr:colOff>
      <xdr:row>29</xdr:row>
      <xdr:rowOff>161925</xdr:rowOff>
    </xdr:to>
    <xdr:sp macro="" textlink="">
      <xdr:nvSpPr>
        <xdr:cNvPr id="19" name="18 Flecha derecha"/>
        <xdr:cNvSpPr/>
      </xdr:nvSpPr>
      <xdr:spPr>
        <a:xfrm>
          <a:off x="12439650" y="7105650"/>
          <a:ext cx="180974" cy="32385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7</xdr:row>
      <xdr:rowOff>0</xdr:rowOff>
    </xdr:from>
    <xdr:to>
      <xdr:col>21</xdr:col>
      <xdr:colOff>152400</xdr:colOff>
      <xdr:row>7</xdr:row>
      <xdr:rowOff>152400</xdr:rowOff>
    </xdr:to>
    <xdr:sp macro="" textlink="">
      <xdr:nvSpPr>
        <xdr:cNvPr id="2" name="Triangle Triangle"/>
        <xdr:cNvSpPr/>
      </xdr:nvSpPr>
      <xdr:spPr>
        <a:xfrm rot="16200000">
          <a:off x="12144375" y="12763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7</xdr:row>
      <xdr:rowOff>76200</xdr:rowOff>
    </xdr:from>
    <xdr:to>
      <xdr:col>21</xdr:col>
      <xdr:colOff>0</xdr:colOff>
      <xdr:row>7</xdr:row>
      <xdr:rowOff>76200</xdr:rowOff>
    </xdr:to>
    <xdr:sp macro="" textlink="">
      <xdr:nvSpPr>
        <xdr:cNvPr id="3" name="Line 1998"/>
        <xdr:cNvSpPr>
          <a:spLocks noChangeShapeType="1"/>
        </xdr:cNvSpPr>
      </xdr:nvSpPr>
      <xdr:spPr bwMode="auto">
        <a:xfrm>
          <a:off x="10429875" y="13525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4</xdr:row>
      <xdr:rowOff>76200</xdr:rowOff>
    </xdr:from>
    <xdr:to>
      <xdr:col>19</xdr:col>
      <xdr:colOff>0</xdr:colOff>
      <xdr:row>7</xdr:row>
      <xdr:rowOff>76200</xdr:rowOff>
    </xdr:to>
    <xdr:sp macro="" textlink="">
      <xdr:nvSpPr>
        <xdr:cNvPr id="4" name="Line 1999"/>
        <xdr:cNvSpPr>
          <a:spLocks noChangeShapeType="1"/>
        </xdr:cNvSpPr>
      </xdr:nvSpPr>
      <xdr:spPr bwMode="auto">
        <a:xfrm>
          <a:off x="10134600" y="809625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2</xdr:row>
      <xdr:rowOff>0</xdr:rowOff>
    </xdr:from>
    <xdr:to>
      <xdr:col>21</xdr:col>
      <xdr:colOff>152400</xdr:colOff>
      <xdr:row>2</xdr:row>
      <xdr:rowOff>152400</xdr:rowOff>
    </xdr:to>
    <xdr:sp macro="" textlink="">
      <xdr:nvSpPr>
        <xdr:cNvPr id="5" name="Triangle Triangle"/>
        <xdr:cNvSpPr/>
      </xdr:nvSpPr>
      <xdr:spPr>
        <a:xfrm rot="16200000">
          <a:off x="12144375" y="3714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2</xdr:row>
      <xdr:rowOff>76200</xdr:rowOff>
    </xdr:from>
    <xdr:to>
      <xdr:col>21</xdr:col>
      <xdr:colOff>0</xdr:colOff>
      <xdr:row>2</xdr:row>
      <xdr:rowOff>76200</xdr:rowOff>
    </xdr:to>
    <xdr:sp macro="" textlink="">
      <xdr:nvSpPr>
        <xdr:cNvPr id="6" name="Line 2000"/>
        <xdr:cNvSpPr>
          <a:spLocks noChangeShapeType="1"/>
        </xdr:cNvSpPr>
      </xdr:nvSpPr>
      <xdr:spPr bwMode="auto">
        <a:xfrm>
          <a:off x="10429875" y="4476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2</xdr:row>
      <xdr:rowOff>76200</xdr:rowOff>
    </xdr:from>
    <xdr:to>
      <xdr:col>19</xdr:col>
      <xdr:colOff>0</xdr:colOff>
      <xdr:row>4</xdr:row>
      <xdr:rowOff>76200</xdr:rowOff>
    </xdr:to>
    <xdr:sp macro="" textlink="">
      <xdr:nvSpPr>
        <xdr:cNvPr id="7" name="Line 2001"/>
        <xdr:cNvSpPr>
          <a:spLocks noChangeShapeType="1"/>
        </xdr:cNvSpPr>
      </xdr:nvSpPr>
      <xdr:spPr bwMode="auto">
        <a:xfrm flipV="1">
          <a:off x="10134600" y="447675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17</xdr:row>
      <xdr:rowOff>0</xdr:rowOff>
    </xdr:from>
    <xdr:to>
      <xdr:col>17</xdr:col>
      <xdr:colOff>152400</xdr:colOff>
      <xdr:row>17</xdr:row>
      <xdr:rowOff>152400</xdr:rowOff>
    </xdr:to>
    <xdr:sp macro="" textlink="">
      <xdr:nvSpPr>
        <xdr:cNvPr id="8" name="Triangle Triangle"/>
        <xdr:cNvSpPr/>
      </xdr:nvSpPr>
      <xdr:spPr>
        <a:xfrm rot="16200000">
          <a:off x="9982200" y="30861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17</xdr:row>
      <xdr:rowOff>76200</xdr:rowOff>
    </xdr:from>
    <xdr:to>
      <xdr:col>21</xdr:col>
      <xdr:colOff>0</xdr:colOff>
      <xdr:row>17</xdr:row>
      <xdr:rowOff>76200</xdr:rowOff>
    </xdr:to>
    <xdr:sp macro="" textlink="">
      <xdr:nvSpPr>
        <xdr:cNvPr id="9" name="Line 2002"/>
        <xdr:cNvSpPr>
          <a:spLocks noChangeShapeType="1"/>
        </xdr:cNvSpPr>
      </xdr:nvSpPr>
      <xdr:spPr bwMode="auto">
        <a:xfrm>
          <a:off x="10134600" y="316230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17</xdr:row>
      <xdr:rowOff>76200</xdr:rowOff>
    </xdr:from>
    <xdr:to>
      <xdr:col>17</xdr:col>
      <xdr:colOff>0</xdr:colOff>
      <xdr:row>17</xdr:row>
      <xdr:rowOff>76200</xdr:rowOff>
    </xdr:to>
    <xdr:sp macro="" textlink="">
      <xdr:nvSpPr>
        <xdr:cNvPr id="10" name="Line 2003"/>
        <xdr:cNvSpPr>
          <a:spLocks noChangeShapeType="1"/>
        </xdr:cNvSpPr>
      </xdr:nvSpPr>
      <xdr:spPr bwMode="auto">
        <a:xfrm>
          <a:off x="8267700" y="31623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17</xdr:row>
      <xdr:rowOff>76200</xdr:rowOff>
    </xdr:from>
    <xdr:to>
      <xdr:col>15</xdr:col>
      <xdr:colOff>0</xdr:colOff>
      <xdr:row>19</xdr:row>
      <xdr:rowOff>76200</xdr:rowOff>
    </xdr:to>
    <xdr:sp macro="" textlink="">
      <xdr:nvSpPr>
        <xdr:cNvPr id="11" name="Line 2004"/>
        <xdr:cNvSpPr>
          <a:spLocks noChangeShapeType="1"/>
        </xdr:cNvSpPr>
      </xdr:nvSpPr>
      <xdr:spPr bwMode="auto">
        <a:xfrm flipV="1">
          <a:off x="7972425" y="316230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152400</xdr:colOff>
      <xdr:row>12</xdr:row>
      <xdr:rowOff>152400</xdr:rowOff>
    </xdr:to>
    <xdr:sp macro="" textlink="">
      <xdr:nvSpPr>
        <xdr:cNvPr id="12" name="Triangle Triangle"/>
        <xdr:cNvSpPr/>
      </xdr:nvSpPr>
      <xdr:spPr>
        <a:xfrm rot="16200000">
          <a:off x="9982200" y="21812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12</xdr:row>
      <xdr:rowOff>76200</xdr:rowOff>
    </xdr:from>
    <xdr:to>
      <xdr:col>21</xdr:col>
      <xdr:colOff>0</xdr:colOff>
      <xdr:row>12</xdr:row>
      <xdr:rowOff>76200</xdr:rowOff>
    </xdr:to>
    <xdr:sp macro="" textlink="">
      <xdr:nvSpPr>
        <xdr:cNvPr id="13" name="Line 2005"/>
        <xdr:cNvSpPr>
          <a:spLocks noChangeShapeType="1"/>
        </xdr:cNvSpPr>
      </xdr:nvSpPr>
      <xdr:spPr bwMode="auto">
        <a:xfrm>
          <a:off x="10134600" y="225742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12</xdr:row>
      <xdr:rowOff>76200</xdr:rowOff>
    </xdr:from>
    <xdr:to>
      <xdr:col>17</xdr:col>
      <xdr:colOff>0</xdr:colOff>
      <xdr:row>12</xdr:row>
      <xdr:rowOff>76200</xdr:rowOff>
    </xdr:to>
    <xdr:sp macro="" textlink="">
      <xdr:nvSpPr>
        <xdr:cNvPr id="14" name="Line 2006"/>
        <xdr:cNvSpPr>
          <a:spLocks noChangeShapeType="1"/>
        </xdr:cNvSpPr>
      </xdr:nvSpPr>
      <xdr:spPr bwMode="auto">
        <a:xfrm>
          <a:off x="8267700" y="22574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8</xdr:row>
      <xdr:rowOff>76200</xdr:rowOff>
    </xdr:from>
    <xdr:to>
      <xdr:col>15</xdr:col>
      <xdr:colOff>0</xdr:colOff>
      <xdr:row>12</xdr:row>
      <xdr:rowOff>76200</xdr:rowOff>
    </xdr:to>
    <xdr:sp macro="" textlink="">
      <xdr:nvSpPr>
        <xdr:cNvPr id="15" name="Line 2007"/>
        <xdr:cNvSpPr>
          <a:spLocks noChangeShapeType="1"/>
        </xdr:cNvSpPr>
      </xdr:nvSpPr>
      <xdr:spPr bwMode="auto">
        <a:xfrm>
          <a:off x="7972425" y="1533525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152400</xdr:colOff>
      <xdr:row>82</xdr:row>
      <xdr:rowOff>152400</xdr:rowOff>
    </xdr:to>
    <xdr:sp macro="" textlink="">
      <xdr:nvSpPr>
        <xdr:cNvPr id="16" name="Triangle Triangle"/>
        <xdr:cNvSpPr/>
      </xdr:nvSpPr>
      <xdr:spPr>
        <a:xfrm rot="16200000">
          <a:off x="7820025" y="148494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152400</xdr:colOff>
      <xdr:row>82</xdr:row>
      <xdr:rowOff>76200</xdr:rowOff>
    </xdr:from>
    <xdr:to>
      <xdr:col>21</xdr:col>
      <xdr:colOff>0</xdr:colOff>
      <xdr:row>82</xdr:row>
      <xdr:rowOff>76200</xdr:rowOff>
    </xdr:to>
    <xdr:sp macro="" textlink="">
      <xdr:nvSpPr>
        <xdr:cNvPr id="17" name="Line 2008"/>
        <xdr:cNvSpPr>
          <a:spLocks noChangeShapeType="1"/>
        </xdr:cNvSpPr>
      </xdr:nvSpPr>
      <xdr:spPr bwMode="auto">
        <a:xfrm>
          <a:off x="7972425" y="14925675"/>
          <a:ext cx="4171950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82</xdr:row>
      <xdr:rowOff>76200</xdr:rowOff>
    </xdr:from>
    <xdr:to>
      <xdr:col>13</xdr:col>
      <xdr:colOff>0</xdr:colOff>
      <xdr:row>82</xdr:row>
      <xdr:rowOff>76200</xdr:rowOff>
    </xdr:to>
    <xdr:sp macro="" textlink="">
      <xdr:nvSpPr>
        <xdr:cNvPr id="18" name="Line 2009"/>
        <xdr:cNvSpPr>
          <a:spLocks noChangeShapeType="1"/>
        </xdr:cNvSpPr>
      </xdr:nvSpPr>
      <xdr:spPr bwMode="auto">
        <a:xfrm>
          <a:off x="5724525" y="14925675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79</xdr:row>
      <xdr:rowOff>76200</xdr:rowOff>
    </xdr:from>
    <xdr:to>
      <xdr:col>11</xdr:col>
      <xdr:colOff>0</xdr:colOff>
      <xdr:row>82</xdr:row>
      <xdr:rowOff>76200</xdr:rowOff>
    </xdr:to>
    <xdr:sp macro="" textlink="">
      <xdr:nvSpPr>
        <xdr:cNvPr id="19" name="Line 2010"/>
        <xdr:cNvSpPr>
          <a:spLocks noChangeShapeType="1"/>
        </xdr:cNvSpPr>
      </xdr:nvSpPr>
      <xdr:spPr bwMode="auto">
        <a:xfrm>
          <a:off x="5429250" y="14382750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152400</xdr:colOff>
      <xdr:row>77</xdr:row>
      <xdr:rowOff>152400</xdr:rowOff>
    </xdr:to>
    <xdr:sp macro="" textlink="">
      <xdr:nvSpPr>
        <xdr:cNvPr id="20" name="Triangle Triangle"/>
        <xdr:cNvSpPr/>
      </xdr:nvSpPr>
      <xdr:spPr>
        <a:xfrm rot="16200000">
          <a:off x="7820025" y="139446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152400</xdr:colOff>
      <xdr:row>77</xdr:row>
      <xdr:rowOff>76200</xdr:rowOff>
    </xdr:from>
    <xdr:to>
      <xdr:col>21</xdr:col>
      <xdr:colOff>0</xdr:colOff>
      <xdr:row>77</xdr:row>
      <xdr:rowOff>76200</xdr:rowOff>
    </xdr:to>
    <xdr:sp macro="" textlink="">
      <xdr:nvSpPr>
        <xdr:cNvPr id="21" name="Line 2011"/>
        <xdr:cNvSpPr>
          <a:spLocks noChangeShapeType="1"/>
        </xdr:cNvSpPr>
      </xdr:nvSpPr>
      <xdr:spPr bwMode="auto">
        <a:xfrm>
          <a:off x="7972425" y="14020800"/>
          <a:ext cx="4171950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77</xdr:row>
      <xdr:rowOff>76200</xdr:rowOff>
    </xdr:from>
    <xdr:to>
      <xdr:col>13</xdr:col>
      <xdr:colOff>0</xdr:colOff>
      <xdr:row>77</xdr:row>
      <xdr:rowOff>76200</xdr:rowOff>
    </xdr:to>
    <xdr:sp macro="" textlink="">
      <xdr:nvSpPr>
        <xdr:cNvPr id="22" name="Line 2012"/>
        <xdr:cNvSpPr>
          <a:spLocks noChangeShapeType="1"/>
        </xdr:cNvSpPr>
      </xdr:nvSpPr>
      <xdr:spPr bwMode="auto">
        <a:xfrm>
          <a:off x="5724525" y="14020800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77</xdr:row>
      <xdr:rowOff>76200</xdr:rowOff>
    </xdr:from>
    <xdr:to>
      <xdr:col>11</xdr:col>
      <xdr:colOff>0</xdr:colOff>
      <xdr:row>79</xdr:row>
      <xdr:rowOff>76200</xdr:rowOff>
    </xdr:to>
    <xdr:sp macro="" textlink="">
      <xdr:nvSpPr>
        <xdr:cNvPr id="23" name="Line 2013"/>
        <xdr:cNvSpPr>
          <a:spLocks noChangeShapeType="1"/>
        </xdr:cNvSpPr>
      </xdr:nvSpPr>
      <xdr:spPr bwMode="auto">
        <a:xfrm flipV="1">
          <a:off x="5429250" y="1402080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4</xdr:row>
      <xdr:rowOff>0</xdr:rowOff>
    </xdr:from>
    <xdr:to>
      <xdr:col>17</xdr:col>
      <xdr:colOff>152400</xdr:colOff>
      <xdr:row>4</xdr:row>
      <xdr:rowOff>152400</xdr:rowOff>
    </xdr:to>
    <xdr:sp macro="" textlink="">
      <xdr:nvSpPr>
        <xdr:cNvPr id="24" name="Circle Oval"/>
        <xdr:cNvSpPr/>
      </xdr:nvSpPr>
      <xdr:spPr>
        <a:xfrm>
          <a:off x="9982200" y="7334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4</xdr:row>
      <xdr:rowOff>76200</xdr:rowOff>
    </xdr:from>
    <xdr:to>
      <xdr:col>17</xdr:col>
      <xdr:colOff>0</xdr:colOff>
      <xdr:row>4</xdr:row>
      <xdr:rowOff>76200</xdr:rowOff>
    </xdr:to>
    <xdr:sp macro="" textlink="">
      <xdr:nvSpPr>
        <xdr:cNvPr id="25" name="Line 2014"/>
        <xdr:cNvSpPr>
          <a:spLocks noChangeShapeType="1"/>
        </xdr:cNvSpPr>
      </xdr:nvSpPr>
      <xdr:spPr bwMode="auto">
        <a:xfrm>
          <a:off x="8267700" y="8096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4</xdr:row>
      <xdr:rowOff>76200</xdr:rowOff>
    </xdr:from>
    <xdr:to>
      <xdr:col>15</xdr:col>
      <xdr:colOff>0</xdr:colOff>
      <xdr:row>8</xdr:row>
      <xdr:rowOff>76200</xdr:rowOff>
    </xdr:to>
    <xdr:sp macro="" textlink="">
      <xdr:nvSpPr>
        <xdr:cNvPr id="26" name="Line 2015"/>
        <xdr:cNvSpPr>
          <a:spLocks noChangeShapeType="1"/>
        </xdr:cNvSpPr>
      </xdr:nvSpPr>
      <xdr:spPr bwMode="auto">
        <a:xfrm flipV="1">
          <a:off x="7972425" y="809625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152400</xdr:colOff>
      <xdr:row>71</xdr:row>
      <xdr:rowOff>152400</xdr:rowOff>
    </xdr:to>
    <xdr:sp macro="" textlink="">
      <xdr:nvSpPr>
        <xdr:cNvPr id="27" name="Circle Oval"/>
        <xdr:cNvSpPr/>
      </xdr:nvSpPr>
      <xdr:spPr>
        <a:xfrm>
          <a:off x="3048000" y="128587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71</xdr:row>
      <xdr:rowOff>76200</xdr:rowOff>
    </xdr:from>
    <xdr:to>
      <xdr:col>5</xdr:col>
      <xdr:colOff>0</xdr:colOff>
      <xdr:row>71</xdr:row>
      <xdr:rowOff>76200</xdr:rowOff>
    </xdr:to>
    <xdr:sp macro="" textlink="">
      <xdr:nvSpPr>
        <xdr:cNvPr id="28" name="Line 2016"/>
        <xdr:cNvSpPr>
          <a:spLocks noChangeShapeType="1"/>
        </xdr:cNvSpPr>
      </xdr:nvSpPr>
      <xdr:spPr bwMode="auto">
        <a:xfrm>
          <a:off x="1314450" y="12934950"/>
          <a:ext cx="173355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</xdr:col>
      <xdr:colOff>152400</xdr:colOff>
      <xdr:row>48</xdr:row>
      <xdr:rowOff>76200</xdr:rowOff>
    </xdr:from>
    <xdr:to>
      <xdr:col>3</xdr:col>
      <xdr:colOff>0</xdr:colOff>
      <xdr:row>71</xdr:row>
      <xdr:rowOff>76200</xdr:rowOff>
    </xdr:to>
    <xdr:sp macro="" textlink="">
      <xdr:nvSpPr>
        <xdr:cNvPr id="29" name="Line 2017"/>
        <xdr:cNvSpPr>
          <a:spLocks noChangeShapeType="1"/>
        </xdr:cNvSpPr>
      </xdr:nvSpPr>
      <xdr:spPr bwMode="auto">
        <a:xfrm>
          <a:off x="1019175" y="8772525"/>
          <a:ext cx="295275" cy="41624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72</xdr:row>
      <xdr:rowOff>0</xdr:rowOff>
    </xdr:from>
    <xdr:to>
      <xdr:col>17</xdr:col>
      <xdr:colOff>152400</xdr:colOff>
      <xdr:row>72</xdr:row>
      <xdr:rowOff>152400</xdr:rowOff>
    </xdr:to>
    <xdr:sp macro="" textlink="">
      <xdr:nvSpPr>
        <xdr:cNvPr id="30" name="Triangle Triangle"/>
        <xdr:cNvSpPr/>
      </xdr:nvSpPr>
      <xdr:spPr>
        <a:xfrm rot="16200000">
          <a:off x="9982200" y="130397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72</xdr:row>
      <xdr:rowOff>76200</xdr:rowOff>
    </xdr:from>
    <xdr:to>
      <xdr:col>21</xdr:col>
      <xdr:colOff>0</xdr:colOff>
      <xdr:row>72</xdr:row>
      <xdr:rowOff>76200</xdr:rowOff>
    </xdr:to>
    <xdr:sp macro="" textlink="">
      <xdr:nvSpPr>
        <xdr:cNvPr id="31" name="Line 2018"/>
        <xdr:cNvSpPr>
          <a:spLocks noChangeShapeType="1"/>
        </xdr:cNvSpPr>
      </xdr:nvSpPr>
      <xdr:spPr bwMode="auto">
        <a:xfrm>
          <a:off x="10134600" y="1311592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72</xdr:row>
      <xdr:rowOff>76200</xdr:rowOff>
    </xdr:from>
    <xdr:to>
      <xdr:col>17</xdr:col>
      <xdr:colOff>0</xdr:colOff>
      <xdr:row>72</xdr:row>
      <xdr:rowOff>76200</xdr:rowOff>
    </xdr:to>
    <xdr:sp macro="" textlink="">
      <xdr:nvSpPr>
        <xdr:cNvPr id="32" name="Line 2019"/>
        <xdr:cNvSpPr>
          <a:spLocks noChangeShapeType="1"/>
        </xdr:cNvSpPr>
      </xdr:nvSpPr>
      <xdr:spPr bwMode="auto">
        <a:xfrm>
          <a:off x="8267700" y="131159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69</xdr:row>
      <xdr:rowOff>76200</xdr:rowOff>
    </xdr:from>
    <xdr:to>
      <xdr:col>15</xdr:col>
      <xdr:colOff>0</xdr:colOff>
      <xdr:row>72</xdr:row>
      <xdr:rowOff>76200</xdr:rowOff>
    </xdr:to>
    <xdr:sp macro="" textlink="">
      <xdr:nvSpPr>
        <xdr:cNvPr id="33" name="Line 2020"/>
        <xdr:cNvSpPr>
          <a:spLocks noChangeShapeType="1"/>
        </xdr:cNvSpPr>
      </xdr:nvSpPr>
      <xdr:spPr bwMode="auto">
        <a:xfrm>
          <a:off x="7972425" y="12573000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67</xdr:row>
      <xdr:rowOff>0</xdr:rowOff>
    </xdr:from>
    <xdr:to>
      <xdr:col>17</xdr:col>
      <xdr:colOff>152400</xdr:colOff>
      <xdr:row>67</xdr:row>
      <xdr:rowOff>152400</xdr:rowOff>
    </xdr:to>
    <xdr:sp macro="" textlink="">
      <xdr:nvSpPr>
        <xdr:cNvPr id="34" name="Triangle Triangle"/>
        <xdr:cNvSpPr/>
      </xdr:nvSpPr>
      <xdr:spPr>
        <a:xfrm rot="16200000">
          <a:off x="9982200" y="121348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67</xdr:row>
      <xdr:rowOff>76200</xdr:rowOff>
    </xdr:from>
    <xdr:to>
      <xdr:col>21</xdr:col>
      <xdr:colOff>0</xdr:colOff>
      <xdr:row>67</xdr:row>
      <xdr:rowOff>76200</xdr:rowOff>
    </xdr:to>
    <xdr:sp macro="" textlink="">
      <xdr:nvSpPr>
        <xdr:cNvPr id="35" name="Line 2021"/>
        <xdr:cNvSpPr>
          <a:spLocks noChangeShapeType="1"/>
        </xdr:cNvSpPr>
      </xdr:nvSpPr>
      <xdr:spPr bwMode="auto">
        <a:xfrm>
          <a:off x="10134600" y="1221105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67</xdr:row>
      <xdr:rowOff>76200</xdr:rowOff>
    </xdr:from>
    <xdr:to>
      <xdr:col>17</xdr:col>
      <xdr:colOff>0</xdr:colOff>
      <xdr:row>67</xdr:row>
      <xdr:rowOff>76200</xdr:rowOff>
    </xdr:to>
    <xdr:sp macro="" textlink="">
      <xdr:nvSpPr>
        <xdr:cNvPr id="36" name="Line 2022"/>
        <xdr:cNvSpPr>
          <a:spLocks noChangeShapeType="1"/>
        </xdr:cNvSpPr>
      </xdr:nvSpPr>
      <xdr:spPr bwMode="auto">
        <a:xfrm>
          <a:off x="8267700" y="122110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67</xdr:row>
      <xdr:rowOff>76200</xdr:rowOff>
    </xdr:from>
    <xdr:to>
      <xdr:col>15</xdr:col>
      <xdr:colOff>0</xdr:colOff>
      <xdr:row>69</xdr:row>
      <xdr:rowOff>76200</xdr:rowOff>
    </xdr:to>
    <xdr:sp macro="" textlink="">
      <xdr:nvSpPr>
        <xdr:cNvPr id="37" name="Line 2023"/>
        <xdr:cNvSpPr>
          <a:spLocks noChangeShapeType="1"/>
        </xdr:cNvSpPr>
      </xdr:nvSpPr>
      <xdr:spPr bwMode="auto">
        <a:xfrm flipV="1">
          <a:off x="7972425" y="1221105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62</xdr:row>
      <xdr:rowOff>0</xdr:rowOff>
    </xdr:from>
    <xdr:to>
      <xdr:col>17</xdr:col>
      <xdr:colOff>152400</xdr:colOff>
      <xdr:row>62</xdr:row>
      <xdr:rowOff>152400</xdr:rowOff>
    </xdr:to>
    <xdr:sp macro="" textlink="">
      <xdr:nvSpPr>
        <xdr:cNvPr id="38" name="Triangle Triangle"/>
        <xdr:cNvSpPr/>
      </xdr:nvSpPr>
      <xdr:spPr>
        <a:xfrm rot="16200000">
          <a:off x="9982200" y="112299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62</xdr:row>
      <xdr:rowOff>76200</xdr:rowOff>
    </xdr:from>
    <xdr:to>
      <xdr:col>21</xdr:col>
      <xdr:colOff>0</xdr:colOff>
      <xdr:row>62</xdr:row>
      <xdr:rowOff>76200</xdr:rowOff>
    </xdr:to>
    <xdr:sp macro="" textlink="">
      <xdr:nvSpPr>
        <xdr:cNvPr id="39" name="Line 2024"/>
        <xdr:cNvSpPr>
          <a:spLocks noChangeShapeType="1"/>
        </xdr:cNvSpPr>
      </xdr:nvSpPr>
      <xdr:spPr bwMode="auto">
        <a:xfrm>
          <a:off x="10134600" y="1130617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62</xdr:row>
      <xdr:rowOff>76200</xdr:rowOff>
    </xdr:from>
    <xdr:to>
      <xdr:col>17</xdr:col>
      <xdr:colOff>0</xdr:colOff>
      <xdr:row>62</xdr:row>
      <xdr:rowOff>76200</xdr:rowOff>
    </xdr:to>
    <xdr:sp macro="" textlink="">
      <xdr:nvSpPr>
        <xdr:cNvPr id="40" name="Line 2025"/>
        <xdr:cNvSpPr>
          <a:spLocks noChangeShapeType="1"/>
        </xdr:cNvSpPr>
      </xdr:nvSpPr>
      <xdr:spPr bwMode="auto">
        <a:xfrm>
          <a:off x="8267700" y="113061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58</xdr:row>
      <xdr:rowOff>76200</xdr:rowOff>
    </xdr:from>
    <xdr:to>
      <xdr:col>15</xdr:col>
      <xdr:colOff>0</xdr:colOff>
      <xdr:row>62</xdr:row>
      <xdr:rowOff>76200</xdr:rowOff>
    </xdr:to>
    <xdr:sp macro="" textlink="">
      <xdr:nvSpPr>
        <xdr:cNvPr id="41" name="Line 2026"/>
        <xdr:cNvSpPr>
          <a:spLocks noChangeShapeType="1"/>
        </xdr:cNvSpPr>
      </xdr:nvSpPr>
      <xdr:spPr bwMode="auto">
        <a:xfrm>
          <a:off x="7972425" y="10582275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54</xdr:row>
      <xdr:rowOff>0</xdr:rowOff>
    </xdr:from>
    <xdr:to>
      <xdr:col>17</xdr:col>
      <xdr:colOff>152400</xdr:colOff>
      <xdr:row>54</xdr:row>
      <xdr:rowOff>152400</xdr:rowOff>
    </xdr:to>
    <xdr:sp macro="" textlink="">
      <xdr:nvSpPr>
        <xdr:cNvPr id="42" name="Circle Oval"/>
        <xdr:cNvSpPr/>
      </xdr:nvSpPr>
      <xdr:spPr>
        <a:xfrm>
          <a:off x="9982200" y="97821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54</xdr:row>
      <xdr:rowOff>76200</xdr:rowOff>
    </xdr:from>
    <xdr:to>
      <xdr:col>17</xdr:col>
      <xdr:colOff>0</xdr:colOff>
      <xdr:row>54</xdr:row>
      <xdr:rowOff>76200</xdr:rowOff>
    </xdr:to>
    <xdr:sp macro="" textlink="">
      <xdr:nvSpPr>
        <xdr:cNvPr id="43" name="Line 2027"/>
        <xdr:cNvSpPr>
          <a:spLocks noChangeShapeType="1"/>
        </xdr:cNvSpPr>
      </xdr:nvSpPr>
      <xdr:spPr bwMode="auto">
        <a:xfrm>
          <a:off x="8267700" y="98583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54</xdr:row>
      <xdr:rowOff>76200</xdr:rowOff>
    </xdr:from>
    <xdr:to>
      <xdr:col>15</xdr:col>
      <xdr:colOff>0</xdr:colOff>
      <xdr:row>58</xdr:row>
      <xdr:rowOff>76200</xdr:rowOff>
    </xdr:to>
    <xdr:sp macro="" textlink="">
      <xdr:nvSpPr>
        <xdr:cNvPr id="44" name="Line 2028"/>
        <xdr:cNvSpPr>
          <a:spLocks noChangeShapeType="1"/>
        </xdr:cNvSpPr>
      </xdr:nvSpPr>
      <xdr:spPr bwMode="auto">
        <a:xfrm flipV="1">
          <a:off x="7972425" y="9858375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69</xdr:row>
      <xdr:rowOff>0</xdr:rowOff>
    </xdr:from>
    <xdr:to>
      <xdr:col>13</xdr:col>
      <xdr:colOff>152400</xdr:colOff>
      <xdr:row>69</xdr:row>
      <xdr:rowOff>152400</xdr:rowOff>
    </xdr:to>
    <xdr:sp macro="" textlink="">
      <xdr:nvSpPr>
        <xdr:cNvPr id="45" name="Circle Oval"/>
        <xdr:cNvSpPr/>
      </xdr:nvSpPr>
      <xdr:spPr>
        <a:xfrm>
          <a:off x="7820025" y="124968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69</xdr:row>
      <xdr:rowOff>76200</xdr:rowOff>
    </xdr:from>
    <xdr:to>
      <xdr:col>13</xdr:col>
      <xdr:colOff>0</xdr:colOff>
      <xdr:row>69</xdr:row>
      <xdr:rowOff>76200</xdr:rowOff>
    </xdr:to>
    <xdr:sp macro="" textlink="">
      <xdr:nvSpPr>
        <xdr:cNvPr id="46" name="Line 2029"/>
        <xdr:cNvSpPr>
          <a:spLocks noChangeShapeType="1"/>
        </xdr:cNvSpPr>
      </xdr:nvSpPr>
      <xdr:spPr bwMode="auto">
        <a:xfrm>
          <a:off x="5724525" y="12573000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63</xdr:row>
      <xdr:rowOff>76200</xdr:rowOff>
    </xdr:from>
    <xdr:to>
      <xdr:col>11</xdr:col>
      <xdr:colOff>0</xdr:colOff>
      <xdr:row>69</xdr:row>
      <xdr:rowOff>76200</xdr:rowOff>
    </xdr:to>
    <xdr:sp macro="" textlink="">
      <xdr:nvSpPr>
        <xdr:cNvPr id="47" name="Line 2030"/>
        <xdr:cNvSpPr>
          <a:spLocks noChangeShapeType="1"/>
        </xdr:cNvSpPr>
      </xdr:nvSpPr>
      <xdr:spPr bwMode="auto">
        <a:xfrm>
          <a:off x="5429250" y="11487150"/>
          <a:ext cx="295275" cy="10858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152400</xdr:colOff>
      <xdr:row>58</xdr:row>
      <xdr:rowOff>152400</xdr:rowOff>
    </xdr:to>
    <xdr:sp macro="" textlink="">
      <xdr:nvSpPr>
        <xdr:cNvPr id="48" name="Circle Oval"/>
        <xdr:cNvSpPr/>
      </xdr:nvSpPr>
      <xdr:spPr>
        <a:xfrm>
          <a:off x="7820025" y="105060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58</xdr:row>
      <xdr:rowOff>76200</xdr:rowOff>
    </xdr:from>
    <xdr:to>
      <xdr:col>13</xdr:col>
      <xdr:colOff>0</xdr:colOff>
      <xdr:row>58</xdr:row>
      <xdr:rowOff>76200</xdr:rowOff>
    </xdr:to>
    <xdr:sp macro="" textlink="">
      <xdr:nvSpPr>
        <xdr:cNvPr id="49" name="Line 2031"/>
        <xdr:cNvSpPr>
          <a:spLocks noChangeShapeType="1"/>
        </xdr:cNvSpPr>
      </xdr:nvSpPr>
      <xdr:spPr bwMode="auto">
        <a:xfrm>
          <a:off x="5724525" y="10582275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58</xdr:row>
      <xdr:rowOff>76200</xdr:rowOff>
    </xdr:from>
    <xdr:to>
      <xdr:col>11</xdr:col>
      <xdr:colOff>0</xdr:colOff>
      <xdr:row>63</xdr:row>
      <xdr:rowOff>76200</xdr:rowOff>
    </xdr:to>
    <xdr:sp macro="" textlink="">
      <xdr:nvSpPr>
        <xdr:cNvPr id="50" name="Line 2032"/>
        <xdr:cNvSpPr>
          <a:spLocks noChangeShapeType="1"/>
        </xdr:cNvSpPr>
      </xdr:nvSpPr>
      <xdr:spPr bwMode="auto">
        <a:xfrm flipV="1">
          <a:off x="5429250" y="10582275"/>
          <a:ext cx="295275" cy="9048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79</xdr:row>
      <xdr:rowOff>0</xdr:rowOff>
    </xdr:from>
    <xdr:to>
      <xdr:col>9</xdr:col>
      <xdr:colOff>152400</xdr:colOff>
      <xdr:row>79</xdr:row>
      <xdr:rowOff>152400</xdr:rowOff>
    </xdr:to>
    <xdr:sp macro="" textlink="">
      <xdr:nvSpPr>
        <xdr:cNvPr id="51" name="Circle Oval"/>
        <xdr:cNvSpPr/>
      </xdr:nvSpPr>
      <xdr:spPr>
        <a:xfrm>
          <a:off x="5276850" y="143065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79</xdr:row>
      <xdr:rowOff>76200</xdr:rowOff>
    </xdr:from>
    <xdr:to>
      <xdr:col>9</xdr:col>
      <xdr:colOff>0</xdr:colOff>
      <xdr:row>79</xdr:row>
      <xdr:rowOff>76200</xdr:rowOff>
    </xdr:to>
    <xdr:sp macro="" textlink="">
      <xdr:nvSpPr>
        <xdr:cNvPr id="52" name="Line 2033"/>
        <xdr:cNvSpPr>
          <a:spLocks noChangeShapeType="1"/>
        </xdr:cNvSpPr>
      </xdr:nvSpPr>
      <xdr:spPr bwMode="auto">
        <a:xfrm>
          <a:off x="3495675" y="14382750"/>
          <a:ext cx="17811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71</xdr:row>
      <xdr:rowOff>76200</xdr:rowOff>
    </xdr:from>
    <xdr:to>
      <xdr:col>7</xdr:col>
      <xdr:colOff>0</xdr:colOff>
      <xdr:row>79</xdr:row>
      <xdr:rowOff>76200</xdr:rowOff>
    </xdr:to>
    <xdr:sp macro="" textlink="">
      <xdr:nvSpPr>
        <xdr:cNvPr id="53" name="Line 2034"/>
        <xdr:cNvSpPr>
          <a:spLocks noChangeShapeType="1"/>
        </xdr:cNvSpPr>
      </xdr:nvSpPr>
      <xdr:spPr bwMode="auto">
        <a:xfrm>
          <a:off x="3200400" y="12934950"/>
          <a:ext cx="295275" cy="14478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63</xdr:row>
      <xdr:rowOff>0</xdr:rowOff>
    </xdr:from>
    <xdr:to>
      <xdr:col>9</xdr:col>
      <xdr:colOff>152400</xdr:colOff>
      <xdr:row>63</xdr:row>
      <xdr:rowOff>152400</xdr:rowOff>
    </xdr:to>
    <xdr:sp macro="" textlink="">
      <xdr:nvSpPr>
        <xdr:cNvPr id="54" name="Square Rectangle"/>
        <xdr:cNvSpPr/>
      </xdr:nvSpPr>
      <xdr:spPr>
        <a:xfrm>
          <a:off x="5276850" y="11410950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  <a:extLst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63</xdr:row>
      <xdr:rowOff>76200</xdr:rowOff>
    </xdr:from>
    <xdr:to>
      <xdr:col>9</xdr:col>
      <xdr:colOff>0</xdr:colOff>
      <xdr:row>63</xdr:row>
      <xdr:rowOff>76200</xdr:rowOff>
    </xdr:to>
    <xdr:sp macro="" textlink="">
      <xdr:nvSpPr>
        <xdr:cNvPr id="55" name="Line 2035"/>
        <xdr:cNvSpPr>
          <a:spLocks noChangeShapeType="1"/>
        </xdr:cNvSpPr>
      </xdr:nvSpPr>
      <xdr:spPr bwMode="auto">
        <a:xfrm>
          <a:off x="3495675" y="11487150"/>
          <a:ext cx="17811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63</xdr:row>
      <xdr:rowOff>76200</xdr:rowOff>
    </xdr:from>
    <xdr:to>
      <xdr:col>7</xdr:col>
      <xdr:colOff>0</xdr:colOff>
      <xdr:row>71</xdr:row>
      <xdr:rowOff>76200</xdr:rowOff>
    </xdr:to>
    <xdr:sp macro="" textlink="">
      <xdr:nvSpPr>
        <xdr:cNvPr id="56" name="Line 2036"/>
        <xdr:cNvSpPr>
          <a:spLocks noChangeShapeType="1"/>
        </xdr:cNvSpPr>
      </xdr:nvSpPr>
      <xdr:spPr bwMode="auto">
        <a:xfrm flipV="1">
          <a:off x="3200400" y="11487150"/>
          <a:ext cx="295275" cy="14478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152400</xdr:colOff>
      <xdr:row>25</xdr:row>
      <xdr:rowOff>152400</xdr:rowOff>
    </xdr:to>
    <xdr:sp macro="" textlink="">
      <xdr:nvSpPr>
        <xdr:cNvPr id="57" name="Circle Oval"/>
        <xdr:cNvSpPr/>
      </xdr:nvSpPr>
      <xdr:spPr>
        <a:xfrm>
          <a:off x="3048000" y="45339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25</xdr:row>
      <xdr:rowOff>76200</xdr:rowOff>
    </xdr:from>
    <xdr:to>
      <xdr:col>5</xdr:col>
      <xdr:colOff>0</xdr:colOff>
      <xdr:row>25</xdr:row>
      <xdr:rowOff>76200</xdr:rowOff>
    </xdr:to>
    <xdr:sp macro="" textlink="">
      <xdr:nvSpPr>
        <xdr:cNvPr id="58" name="Line 2037"/>
        <xdr:cNvSpPr>
          <a:spLocks noChangeShapeType="1"/>
        </xdr:cNvSpPr>
      </xdr:nvSpPr>
      <xdr:spPr bwMode="auto">
        <a:xfrm>
          <a:off x="1314450" y="4610100"/>
          <a:ext cx="173355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</xdr:col>
      <xdr:colOff>152400</xdr:colOff>
      <xdr:row>25</xdr:row>
      <xdr:rowOff>76200</xdr:rowOff>
    </xdr:from>
    <xdr:to>
      <xdr:col>3</xdr:col>
      <xdr:colOff>0</xdr:colOff>
      <xdr:row>48</xdr:row>
      <xdr:rowOff>76200</xdr:rowOff>
    </xdr:to>
    <xdr:sp macro="" textlink="">
      <xdr:nvSpPr>
        <xdr:cNvPr id="59" name="Line 2038"/>
        <xdr:cNvSpPr>
          <a:spLocks noChangeShapeType="1"/>
        </xdr:cNvSpPr>
      </xdr:nvSpPr>
      <xdr:spPr bwMode="auto">
        <a:xfrm flipV="1">
          <a:off x="1019175" y="4610100"/>
          <a:ext cx="295275" cy="41624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22</xdr:row>
      <xdr:rowOff>0</xdr:rowOff>
    </xdr:from>
    <xdr:to>
      <xdr:col>17</xdr:col>
      <xdr:colOff>152400</xdr:colOff>
      <xdr:row>22</xdr:row>
      <xdr:rowOff>152400</xdr:rowOff>
    </xdr:to>
    <xdr:sp macro="" textlink="">
      <xdr:nvSpPr>
        <xdr:cNvPr id="60" name="Triangle Triangle"/>
        <xdr:cNvSpPr/>
      </xdr:nvSpPr>
      <xdr:spPr>
        <a:xfrm rot="16200000">
          <a:off x="9982200" y="39909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22</xdr:row>
      <xdr:rowOff>76200</xdr:rowOff>
    </xdr:from>
    <xdr:to>
      <xdr:col>21</xdr:col>
      <xdr:colOff>0</xdr:colOff>
      <xdr:row>22</xdr:row>
      <xdr:rowOff>76200</xdr:rowOff>
    </xdr:to>
    <xdr:sp macro="" textlink="">
      <xdr:nvSpPr>
        <xdr:cNvPr id="61" name="Line 2039"/>
        <xdr:cNvSpPr>
          <a:spLocks noChangeShapeType="1"/>
        </xdr:cNvSpPr>
      </xdr:nvSpPr>
      <xdr:spPr bwMode="auto">
        <a:xfrm>
          <a:off x="10134600" y="406717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22</xdr:row>
      <xdr:rowOff>76200</xdr:rowOff>
    </xdr:from>
    <xdr:to>
      <xdr:col>17</xdr:col>
      <xdr:colOff>0</xdr:colOff>
      <xdr:row>22</xdr:row>
      <xdr:rowOff>76200</xdr:rowOff>
    </xdr:to>
    <xdr:sp macro="" textlink="">
      <xdr:nvSpPr>
        <xdr:cNvPr id="62" name="Line 2040"/>
        <xdr:cNvSpPr>
          <a:spLocks noChangeShapeType="1"/>
        </xdr:cNvSpPr>
      </xdr:nvSpPr>
      <xdr:spPr bwMode="auto">
        <a:xfrm>
          <a:off x="8267700" y="40671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19</xdr:row>
      <xdr:rowOff>76200</xdr:rowOff>
    </xdr:from>
    <xdr:to>
      <xdr:col>15</xdr:col>
      <xdr:colOff>0</xdr:colOff>
      <xdr:row>22</xdr:row>
      <xdr:rowOff>76200</xdr:rowOff>
    </xdr:to>
    <xdr:sp macro="" textlink="">
      <xdr:nvSpPr>
        <xdr:cNvPr id="63" name="Line 2041"/>
        <xdr:cNvSpPr>
          <a:spLocks noChangeShapeType="1"/>
        </xdr:cNvSpPr>
      </xdr:nvSpPr>
      <xdr:spPr bwMode="auto">
        <a:xfrm>
          <a:off x="7972425" y="3524250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152400</xdr:colOff>
      <xdr:row>8</xdr:row>
      <xdr:rowOff>152400</xdr:rowOff>
    </xdr:to>
    <xdr:sp macro="" textlink="">
      <xdr:nvSpPr>
        <xdr:cNvPr id="64" name="Circle Oval"/>
        <xdr:cNvSpPr/>
      </xdr:nvSpPr>
      <xdr:spPr>
        <a:xfrm>
          <a:off x="7820025" y="14573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8</xdr:row>
      <xdr:rowOff>76200</xdr:rowOff>
    </xdr:from>
    <xdr:to>
      <xdr:col>13</xdr:col>
      <xdr:colOff>0</xdr:colOff>
      <xdr:row>8</xdr:row>
      <xdr:rowOff>76200</xdr:rowOff>
    </xdr:to>
    <xdr:sp macro="" textlink="">
      <xdr:nvSpPr>
        <xdr:cNvPr id="65" name="Line 2042"/>
        <xdr:cNvSpPr>
          <a:spLocks noChangeShapeType="1"/>
        </xdr:cNvSpPr>
      </xdr:nvSpPr>
      <xdr:spPr bwMode="auto">
        <a:xfrm>
          <a:off x="5724525" y="1533525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8</xdr:row>
      <xdr:rowOff>76200</xdr:rowOff>
    </xdr:from>
    <xdr:to>
      <xdr:col>11</xdr:col>
      <xdr:colOff>0</xdr:colOff>
      <xdr:row>13</xdr:row>
      <xdr:rowOff>76200</xdr:rowOff>
    </xdr:to>
    <xdr:sp macro="" textlink="">
      <xdr:nvSpPr>
        <xdr:cNvPr id="66" name="Line 2043"/>
        <xdr:cNvSpPr>
          <a:spLocks noChangeShapeType="1"/>
        </xdr:cNvSpPr>
      </xdr:nvSpPr>
      <xdr:spPr bwMode="auto">
        <a:xfrm flipV="1">
          <a:off x="5429250" y="1533525"/>
          <a:ext cx="295275" cy="9048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57</xdr:row>
      <xdr:rowOff>0</xdr:rowOff>
    </xdr:from>
    <xdr:to>
      <xdr:col>21</xdr:col>
      <xdr:colOff>152400</xdr:colOff>
      <xdr:row>57</xdr:row>
      <xdr:rowOff>152400</xdr:rowOff>
    </xdr:to>
    <xdr:sp macro="" textlink="">
      <xdr:nvSpPr>
        <xdr:cNvPr id="67" name="Triangle Triangle"/>
        <xdr:cNvSpPr/>
      </xdr:nvSpPr>
      <xdr:spPr>
        <a:xfrm rot="16200000">
          <a:off x="12144375" y="103251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57</xdr:row>
      <xdr:rowOff>76200</xdr:rowOff>
    </xdr:from>
    <xdr:to>
      <xdr:col>21</xdr:col>
      <xdr:colOff>0</xdr:colOff>
      <xdr:row>57</xdr:row>
      <xdr:rowOff>76200</xdr:rowOff>
    </xdr:to>
    <xdr:sp macro="" textlink="">
      <xdr:nvSpPr>
        <xdr:cNvPr id="68" name="Line 2044"/>
        <xdr:cNvSpPr>
          <a:spLocks noChangeShapeType="1"/>
        </xdr:cNvSpPr>
      </xdr:nvSpPr>
      <xdr:spPr bwMode="auto">
        <a:xfrm>
          <a:off x="10429875" y="104013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54</xdr:row>
      <xdr:rowOff>76200</xdr:rowOff>
    </xdr:from>
    <xdr:to>
      <xdr:col>19</xdr:col>
      <xdr:colOff>0</xdr:colOff>
      <xdr:row>57</xdr:row>
      <xdr:rowOff>76200</xdr:rowOff>
    </xdr:to>
    <xdr:sp macro="" textlink="">
      <xdr:nvSpPr>
        <xdr:cNvPr id="69" name="Line 2045"/>
        <xdr:cNvSpPr>
          <a:spLocks noChangeShapeType="1"/>
        </xdr:cNvSpPr>
      </xdr:nvSpPr>
      <xdr:spPr bwMode="auto">
        <a:xfrm>
          <a:off x="10134600" y="9858375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152400</xdr:colOff>
      <xdr:row>13</xdr:row>
      <xdr:rowOff>152400</xdr:rowOff>
    </xdr:to>
    <xdr:sp macro="" textlink="">
      <xdr:nvSpPr>
        <xdr:cNvPr id="70" name="Square Rectangle"/>
        <xdr:cNvSpPr/>
      </xdr:nvSpPr>
      <xdr:spPr>
        <a:xfrm>
          <a:off x="5276850" y="2362200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13</xdr:row>
      <xdr:rowOff>76200</xdr:rowOff>
    </xdr:from>
    <xdr:to>
      <xdr:col>9</xdr:col>
      <xdr:colOff>0</xdr:colOff>
      <xdr:row>13</xdr:row>
      <xdr:rowOff>76200</xdr:rowOff>
    </xdr:to>
    <xdr:sp macro="" textlink="">
      <xdr:nvSpPr>
        <xdr:cNvPr id="71" name="Line 2046"/>
        <xdr:cNvSpPr>
          <a:spLocks noChangeShapeType="1"/>
        </xdr:cNvSpPr>
      </xdr:nvSpPr>
      <xdr:spPr bwMode="auto">
        <a:xfrm>
          <a:off x="3495675" y="2438400"/>
          <a:ext cx="17811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13</xdr:row>
      <xdr:rowOff>76200</xdr:rowOff>
    </xdr:from>
    <xdr:to>
      <xdr:col>7</xdr:col>
      <xdr:colOff>0</xdr:colOff>
      <xdr:row>25</xdr:row>
      <xdr:rowOff>76200</xdr:rowOff>
    </xdr:to>
    <xdr:sp macro="" textlink="">
      <xdr:nvSpPr>
        <xdr:cNvPr id="72" name="Line 2047"/>
        <xdr:cNvSpPr>
          <a:spLocks noChangeShapeType="1"/>
        </xdr:cNvSpPr>
      </xdr:nvSpPr>
      <xdr:spPr bwMode="auto">
        <a:xfrm flipV="1">
          <a:off x="3200400" y="2438400"/>
          <a:ext cx="295275" cy="21717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152400</xdr:colOff>
      <xdr:row>19</xdr:row>
      <xdr:rowOff>152400</xdr:rowOff>
    </xdr:to>
    <xdr:sp macro="" textlink="">
      <xdr:nvSpPr>
        <xdr:cNvPr id="73" name="Circle Oval"/>
        <xdr:cNvSpPr/>
      </xdr:nvSpPr>
      <xdr:spPr>
        <a:xfrm>
          <a:off x="7820025" y="34480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19</xdr:row>
      <xdr:rowOff>76200</xdr:rowOff>
    </xdr:from>
    <xdr:to>
      <xdr:col>13</xdr:col>
      <xdr:colOff>0</xdr:colOff>
      <xdr:row>19</xdr:row>
      <xdr:rowOff>76200</xdr:rowOff>
    </xdr:to>
    <xdr:sp macro="" textlink="">
      <xdr:nvSpPr>
        <xdr:cNvPr id="74" name="Line 2048"/>
        <xdr:cNvSpPr>
          <a:spLocks noChangeShapeType="1"/>
        </xdr:cNvSpPr>
      </xdr:nvSpPr>
      <xdr:spPr bwMode="auto">
        <a:xfrm>
          <a:off x="5724525" y="3524250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13</xdr:row>
      <xdr:rowOff>76200</xdr:rowOff>
    </xdr:from>
    <xdr:to>
      <xdr:col>11</xdr:col>
      <xdr:colOff>0</xdr:colOff>
      <xdr:row>19</xdr:row>
      <xdr:rowOff>76200</xdr:rowOff>
    </xdr:to>
    <xdr:sp macro="" textlink="">
      <xdr:nvSpPr>
        <xdr:cNvPr id="75" name="Line 2049"/>
        <xdr:cNvSpPr>
          <a:spLocks noChangeShapeType="1"/>
        </xdr:cNvSpPr>
      </xdr:nvSpPr>
      <xdr:spPr bwMode="auto">
        <a:xfrm>
          <a:off x="5429250" y="2438400"/>
          <a:ext cx="295275" cy="10858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52</xdr:row>
      <xdr:rowOff>0</xdr:rowOff>
    </xdr:from>
    <xdr:to>
      <xdr:col>21</xdr:col>
      <xdr:colOff>152400</xdr:colOff>
      <xdr:row>52</xdr:row>
      <xdr:rowOff>152400</xdr:rowOff>
    </xdr:to>
    <xdr:sp macro="" textlink="">
      <xdr:nvSpPr>
        <xdr:cNvPr id="76" name="Triangle Triangle"/>
        <xdr:cNvSpPr/>
      </xdr:nvSpPr>
      <xdr:spPr>
        <a:xfrm rot="16200000">
          <a:off x="12144375" y="94202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52</xdr:row>
      <xdr:rowOff>76200</xdr:rowOff>
    </xdr:from>
    <xdr:to>
      <xdr:col>21</xdr:col>
      <xdr:colOff>0</xdr:colOff>
      <xdr:row>52</xdr:row>
      <xdr:rowOff>76200</xdr:rowOff>
    </xdr:to>
    <xdr:sp macro="" textlink="">
      <xdr:nvSpPr>
        <xdr:cNvPr id="77" name="Line 2050"/>
        <xdr:cNvSpPr>
          <a:spLocks noChangeShapeType="1"/>
        </xdr:cNvSpPr>
      </xdr:nvSpPr>
      <xdr:spPr bwMode="auto">
        <a:xfrm>
          <a:off x="10429875" y="94964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52</xdr:row>
      <xdr:rowOff>76200</xdr:rowOff>
    </xdr:from>
    <xdr:to>
      <xdr:col>19</xdr:col>
      <xdr:colOff>0</xdr:colOff>
      <xdr:row>54</xdr:row>
      <xdr:rowOff>76200</xdr:rowOff>
    </xdr:to>
    <xdr:sp macro="" textlink="">
      <xdr:nvSpPr>
        <xdr:cNvPr id="78" name="Line 2051"/>
        <xdr:cNvSpPr>
          <a:spLocks noChangeShapeType="1"/>
        </xdr:cNvSpPr>
      </xdr:nvSpPr>
      <xdr:spPr bwMode="auto">
        <a:xfrm flipV="1">
          <a:off x="10134600" y="9496425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152400</xdr:colOff>
      <xdr:row>38</xdr:row>
      <xdr:rowOff>152400</xdr:rowOff>
    </xdr:to>
    <xdr:sp macro="" textlink="">
      <xdr:nvSpPr>
        <xdr:cNvPr id="79" name="Square Rectangle"/>
        <xdr:cNvSpPr/>
      </xdr:nvSpPr>
      <xdr:spPr>
        <a:xfrm>
          <a:off x="5276850" y="6886575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38</xdr:row>
      <xdr:rowOff>76200</xdr:rowOff>
    </xdr:from>
    <xdr:to>
      <xdr:col>9</xdr:col>
      <xdr:colOff>0</xdr:colOff>
      <xdr:row>38</xdr:row>
      <xdr:rowOff>76200</xdr:rowOff>
    </xdr:to>
    <xdr:sp macro="" textlink="">
      <xdr:nvSpPr>
        <xdr:cNvPr id="80" name="Line 2052"/>
        <xdr:cNvSpPr>
          <a:spLocks noChangeShapeType="1"/>
        </xdr:cNvSpPr>
      </xdr:nvSpPr>
      <xdr:spPr bwMode="auto">
        <a:xfrm>
          <a:off x="3495675" y="6962775"/>
          <a:ext cx="17811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25</xdr:row>
      <xdr:rowOff>76200</xdr:rowOff>
    </xdr:from>
    <xdr:to>
      <xdr:col>7</xdr:col>
      <xdr:colOff>0</xdr:colOff>
      <xdr:row>38</xdr:row>
      <xdr:rowOff>76200</xdr:rowOff>
    </xdr:to>
    <xdr:sp macro="" textlink="">
      <xdr:nvSpPr>
        <xdr:cNvPr id="81" name="Line 2053"/>
        <xdr:cNvSpPr>
          <a:spLocks noChangeShapeType="1"/>
        </xdr:cNvSpPr>
      </xdr:nvSpPr>
      <xdr:spPr bwMode="auto">
        <a:xfrm>
          <a:off x="3200400" y="4610100"/>
          <a:ext cx="295275" cy="23526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152400</xdr:colOff>
      <xdr:row>32</xdr:row>
      <xdr:rowOff>152400</xdr:rowOff>
    </xdr:to>
    <xdr:sp macro="" textlink="">
      <xdr:nvSpPr>
        <xdr:cNvPr id="82" name="Triangle Triangle"/>
        <xdr:cNvSpPr/>
      </xdr:nvSpPr>
      <xdr:spPr>
        <a:xfrm rot="16200000">
          <a:off x="12144375" y="58007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32</xdr:row>
      <xdr:rowOff>76200</xdr:rowOff>
    </xdr:from>
    <xdr:to>
      <xdr:col>21</xdr:col>
      <xdr:colOff>0</xdr:colOff>
      <xdr:row>32</xdr:row>
      <xdr:rowOff>76200</xdr:rowOff>
    </xdr:to>
    <xdr:sp macro="" textlink="">
      <xdr:nvSpPr>
        <xdr:cNvPr id="83" name="Line 2054"/>
        <xdr:cNvSpPr>
          <a:spLocks noChangeShapeType="1"/>
        </xdr:cNvSpPr>
      </xdr:nvSpPr>
      <xdr:spPr bwMode="auto">
        <a:xfrm>
          <a:off x="10429875" y="58769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29</xdr:row>
      <xdr:rowOff>76200</xdr:rowOff>
    </xdr:from>
    <xdr:to>
      <xdr:col>19</xdr:col>
      <xdr:colOff>0</xdr:colOff>
      <xdr:row>32</xdr:row>
      <xdr:rowOff>76200</xdr:rowOff>
    </xdr:to>
    <xdr:sp macro="" textlink="">
      <xdr:nvSpPr>
        <xdr:cNvPr id="84" name="Line 2055"/>
        <xdr:cNvSpPr>
          <a:spLocks noChangeShapeType="1"/>
        </xdr:cNvSpPr>
      </xdr:nvSpPr>
      <xdr:spPr bwMode="auto">
        <a:xfrm>
          <a:off x="10134600" y="5334000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27</xdr:row>
      <xdr:rowOff>0</xdr:rowOff>
    </xdr:from>
    <xdr:to>
      <xdr:col>21</xdr:col>
      <xdr:colOff>152400</xdr:colOff>
      <xdr:row>27</xdr:row>
      <xdr:rowOff>152400</xdr:rowOff>
    </xdr:to>
    <xdr:sp macro="" textlink="">
      <xdr:nvSpPr>
        <xdr:cNvPr id="85" name="Triangle Triangle"/>
        <xdr:cNvSpPr/>
      </xdr:nvSpPr>
      <xdr:spPr>
        <a:xfrm rot="16200000">
          <a:off x="12144375" y="48958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27</xdr:row>
      <xdr:rowOff>76200</xdr:rowOff>
    </xdr:from>
    <xdr:to>
      <xdr:col>21</xdr:col>
      <xdr:colOff>0</xdr:colOff>
      <xdr:row>27</xdr:row>
      <xdr:rowOff>76200</xdr:rowOff>
    </xdr:to>
    <xdr:sp macro="" textlink="">
      <xdr:nvSpPr>
        <xdr:cNvPr id="86" name="Line 2056"/>
        <xdr:cNvSpPr>
          <a:spLocks noChangeShapeType="1"/>
        </xdr:cNvSpPr>
      </xdr:nvSpPr>
      <xdr:spPr bwMode="auto">
        <a:xfrm>
          <a:off x="10429875" y="49720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27</xdr:row>
      <xdr:rowOff>76200</xdr:rowOff>
    </xdr:from>
    <xdr:to>
      <xdr:col>19</xdr:col>
      <xdr:colOff>0</xdr:colOff>
      <xdr:row>29</xdr:row>
      <xdr:rowOff>76200</xdr:rowOff>
    </xdr:to>
    <xdr:sp macro="" textlink="">
      <xdr:nvSpPr>
        <xdr:cNvPr id="87" name="Line 2057"/>
        <xdr:cNvSpPr>
          <a:spLocks noChangeShapeType="1"/>
        </xdr:cNvSpPr>
      </xdr:nvSpPr>
      <xdr:spPr bwMode="auto">
        <a:xfrm flipV="1">
          <a:off x="10134600" y="497205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42</xdr:row>
      <xdr:rowOff>0</xdr:rowOff>
    </xdr:from>
    <xdr:to>
      <xdr:col>17</xdr:col>
      <xdr:colOff>152400</xdr:colOff>
      <xdr:row>42</xdr:row>
      <xdr:rowOff>152400</xdr:rowOff>
    </xdr:to>
    <xdr:sp macro="" textlink="">
      <xdr:nvSpPr>
        <xdr:cNvPr id="88" name="Triangle Triangle"/>
        <xdr:cNvSpPr/>
      </xdr:nvSpPr>
      <xdr:spPr>
        <a:xfrm rot="16200000">
          <a:off x="9982200" y="76104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42</xdr:row>
      <xdr:rowOff>76200</xdr:rowOff>
    </xdr:from>
    <xdr:to>
      <xdr:col>21</xdr:col>
      <xdr:colOff>0</xdr:colOff>
      <xdr:row>42</xdr:row>
      <xdr:rowOff>76200</xdr:rowOff>
    </xdr:to>
    <xdr:sp macro="" textlink="">
      <xdr:nvSpPr>
        <xdr:cNvPr id="89" name="Line 2058"/>
        <xdr:cNvSpPr>
          <a:spLocks noChangeShapeType="1"/>
        </xdr:cNvSpPr>
      </xdr:nvSpPr>
      <xdr:spPr bwMode="auto">
        <a:xfrm>
          <a:off x="10134600" y="768667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42</xdr:row>
      <xdr:rowOff>76200</xdr:rowOff>
    </xdr:from>
    <xdr:to>
      <xdr:col>17</xdr:col>
      <xdr:colOff>0</xdr:colOff>
      <xdr:row>42</xdr:row>
      <xdr:rowOff>76200</xdr:rowOff>
    </xdr:to>
    <xdr:sp macro="" textlink="">
      <xdr:nvSpPr>
        <xdr:cNvPr id="90" name="Line 2059"/>
        <xdr:cNvSpPr>
          <a:spLocks noChangeShapeType="1"/>
        </xdr:cNvSpPr>
      </xdr:nvSpPr>
      <xdr:spPr bwMode="auto">
        <a:xfrm>
          <a:off x="8267700" y="76866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42</xdr:row>
      <xdr:rowOff>76200</xdr:rowOff>
    </xdr:from>
    <xdr:to>
      <xdr:col>15</xdr:col>
      <xdr:colOff>0</xdr:colOff>
      <xdr:row>44</xdr:row>
      <xdr:rowOff>76200</xdr:rowOff>
    </xdr:to>
    <xdr:sp macro="" textlink="">
      <xdr:nvSpPr>
        <xdr:cNvPr id="91" name="Line 2060"/>
        <xdr:cNvSpPr>
          <a:spLocks noChangeShapeType="1"/>
        </xdr:cNvSpPr>
      </xdr:nvSpPr>
      <xdr:spPr bwMode="auto">
        <a:xfrm flipV="1">
          <a:off x="7972425" y="7686675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37</xdr:row>
      <xdr:rowOff>0</xdr:rowOff>
    </xdr:from>
    <xdr:to>
      <xdr:col>17</xdr:col>
      <xdr:colOff>152400</xdr:colOff>
      <xdr:row>37</xdr:row>
      <xdr:rowOff>152400</xdr:rowOff>
    </xdr:to>
    <xdr:sp macro="" textlink="">
      <xdr:nvSpPr>
        <xdr:cNvPr id="92" name="Triangle Triangle"/>
        <xdr:cNvSpPr/>
      </xdr:nvSpPr>
      <xdr:spPr>
        <a:xfrm rot="16200000">
          <a:off x="9982200" y="67056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37</xdr:row>
      <xdr:rowOff>76200</xdr:rowOff>
    </xdr:from>
    <xdr:to>
      <xdr:col>21</xdr:col>
      <xdr:colOff>0</xdr:colOff>
      <xdr:row>37</xdr:row>
      <xdr:rowOff>76200</xdr:rowOff>
    </xdr:to>
    <xdr:sp macro="" textlink="">
      <xdr:nvSpPr>
        <xdr:cNvPr id="93" name="Line 2061"/>
        <xdr:cNvSpPr>
          <a:spLocks noChangeShapeType="1"/>
        </xdr:cNvSpPr>
      </xdr:nvSpPr>
      <xdr:spPr bwMode="auto">
        <a:xfrm>
          <a:off x="10134600" y="678180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37</xdr:row>
      <xdr:rowOff>76200</xdr:rowOff>
    </xdr:from>
    <xdr:to>
      <xdr:col>17</xdr:col>
      <xdr:colOff>0</xdr:colOff>
      <xdr:row>37</xdr:row>
      <xdr:rowOff>76200</xdr:rowOff>
    </xdr:to>
    <xdr:sp macro="" textlink="">
      <xdr:nvSpPr>
        <xdr:cNvPr id="94" name="Line 2062"/>
        <xdr:cNvSpPr>
          <a:spLocks noChangeShapeType="1"/>
        </xdr:cNvSpPr>
      </xdr:nvSpPr>
      <xdr:spPr bwMode="auto">
        <a:xfrm>
          <a:off x="8267700" y="67818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33</xdr:row>
      <xdr:rowOff>76200</xdr:rowOff>
    </xdr:from>
    <xdr:to>
      <xdr:col>15</xdr:col>
      <xdr:colOff>0</xdr:colOff>
      <xdr:row>37</xdr:row>
      <xdr:rowOff>76200</xdr:rowOff>
    </xdr:to>
    <xdr:sp macro="" textlink="">
      <xdr:nvSpPr>
        <xdr:cNvPr id="95" name="Line 2063"/>
        <xdr:cNvSpPr>
          <a:spLocks noChangeShapeType="1"/>
        </xdr:cNvSpPr>
      </xdr:nvSpPr>
      <xdr:spPr bwMode="auto">
        <a:xfrm>
          <a:off x="7972425" y="6057900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29</xdr:row>
      <xdr:rowOff>0</xdr:rowOff>
    </xdr:from>
    <xdr:to>
      <xdr:col>17</xdr:col>
      <xdr:colOff>152400</xdr:colOff>
      <xdr:row>29</xdr:row>
      <xdr:rowOff>152400</xdr:rowOff>
    </xdr:to>
    <xdr:sp macro="" textlink="">
      <xdr:nvSpPr>
        <xdr:cNvPr id="96" name="Circle Oval"/>
        <xdr:cNvSpPr/>
      </xdr:nvSpPr>
      <xdr:spPr>
        <a:xfrm>
          <a:off x="9982200" y="52578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29</xdr:row>
      <xdr:rowOff>76200</xdr:rowOff>
    </xdr:from>
    <xdr:to>
      <xdr:col>17</xdr:col>
      <xdr:colOff>0</xdr:colOff>
      <xdr:row>29</xdr:row>
      <xdr:rowOff>76200</xdr:rowOff>
    </xdr:to>
    <xdr:sp macro="" textlink="">
      <xdr:nvSpPr>
        <xdr:cNvPr id="97" name="Line 2064"/>
        <xdr:cNvSpPr>
          <a:spLocks noChangeShapeType="1"/>
        </xdr:cNvSpPr>
      </xdr:nvSpPr>
      <xdr:spPr bwMode="auto">
        <a:xfrm>
          <a:off x="8267700" y="53340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29</xdr:row>
      <xdr:rowOff>76200</xdr:rowOff>
    </xdr:from>
    <xdr:to>
      <xdr:col>15</xdr:col>
      <xdr:colOff>0</xdr:colOff>
      <xdr:row>33</xdr:row>
      <xdr:rowOff>76200</xdr:rowOff>
    </xdr:to>
    <xdr:sp macro="" textlink="">
      <xdr:nvSpPr>
        <xdr:cNvPr id="98" name="Line 2065"/>
        <xdr:cNvSpPr>
          <a:spLocks noChangeShapeType="1"/>
        </xdr:cNvSpPr>
      </xdr:nvSpPr>
      <xdr:spPr bwMode="auto">
        <a:xfrm flipV="1">
          <a:off x="7972425" y="5334000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47</xdr:row>
      <xdr:rowOff>0</xdr:rowOff>
    </xdr:from>
    <xdr:to>
      <xdr:col>17</xdr:col>
      <xdr:colOff>152400</xdr:colOff>
      <xdr:row>47</xdr:row>
      <xdr:rowOff>152400</xdr:rowOff>
    </xdr:to>
    <xdr:sp macro="" textlink="">
      <xdr:nvSpPr>
        <xdr:cNvPr id="99" name="Triangle Triangle"/>
        <xdr:cNvSpPr/>
      </xdr:nvSpPr>
      <xdr:spPr>
        <a:xfrm rot="16200000">
          <a:off x="9982200" y="85153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47</xdr:row>
      <xdr:rowOff>76200</xdr:rowOff>
    </xdr:from>
    <xdr:to>
      <xdr:col>21</xdr:col>
      <xdr:colOff>0</xdr:colOff>
      <xdr:row>47</xdr:row>
      <xdr:rowOff>76200</xdr:rowOff>
    </xdr:to>
    <xdr:sp macro="" textlink="">
      <xdr:nvSpPr>
        <xdr:cNvPr id="100" name="Line 2066"/>
        <xdr:cNvSpPr>
          <a:spLocks noChangeShapeType="1"/>
        </xdr:cNvSpPr>
      </xdr:nvSpPr>
      <xdr:spPr bwMode="auto">
        <a:xfrm>
          <a:off x="10134600" y="859155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47</xdr:row>
      <xdr:rowOff>76200</xdr:rowOff>
    </xdr:from>
    <xdr:to>
      <xdr:col>17</xdr:col>
      <xdr:colOff>0</xdr:colOff>
      <xdr:row>47</xdr:row>
      <xdr:rowOff>76200</xdr:rowOff>
    </xdr:to>
    <xdr:sp macro="" textlink="">
      <xdr:nvSpPr>
        <xdr:cNvPr id="101" name="Line 2067"/>
        <xdr:cNvSpPr>
          <a:spLocks noChangeShapeType="1"/>
        </xdr:cNvSpPr>
      </xdr:nvSpPr>
      <xdr:spPr bwMode="auto">
        <a:xfrm>
          <a:off x="8267700" y="85915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44</xdr:row>
      <xdr:rowOff>76200</xdr:rowOff>
    </xdr:from>
    <xdr:to>
      <xdr:col>15</xdr:col>
      <xdr:colOff>0</xdr:colOff>
      <xdr:row>47</xdr:row>
      <xdr:rowOff>76200</xdr:rowOff>
    </xdr:to>
    <xdr:sp macro="" textlink="">
      <xdr:nvSpPr>
        <xdr:cNvPr id="102" name="Line 2068"/>
        <xdr:cNvSpPr>
          <a:spLocks noChangeShapeType="1"/>
        </xdr:cNvSpPr>
      </xdr:nvSpPr>
      <xdr:spPr bwMode="auto">
        <a:xfrm>
          <a:off x="7972425" y="8048625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33</xdr:row>
      <xdr:rowOff>0</xdr:rowOff>
    </xdr:from>
    <xdr:to>
      <xdr:col>13</xdr:col>
      <xdr:colOff>152400</xdr:colOff>
      <xdr:row>33</xdr:row>
      <xdr:rowOff>152400</xdr:rowOff>
    </xdr:to>
    <xdr:sp macro="" textlink="">
      <xdr:nvSpPr>
        <xdr:cNvPr id="103" name="Circle Oval"/>
        <xdr:cNvSpPr/>
      </xdr:nvSpPr>
      <xdr:spPr>
        <a:xfrm>
          <a:off x="7820025" y="59817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33</xdr:row>
      <xdr:rowOff>76200</xdr:rowOff>
    </xdr:from>
    <xdr:to>
      <xdr:col>13</xdr:col>
      <xdr:colOff>0</xdr:colOff>
      <xdr:row>33</xdr:row>
      <xdr:rowOff>76200</xdr:rowOff>
    </xdr:to>
    <xdr:sp macro="" textlink="">
      <xdr:nvSpPr>
        <xdr:cNvPr id="104" name="Line 2069"/>
        <xdr:cNvSpPr>
          <a:spLocks noChangeShapeType="1"/>
        </xdr:cNvSpPr>
      </xdr:nvSpPr>
      <xdr:spPr bwMode="auto">
        <a:xfrm>
          <a:off x="5724525" y="6057900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33</xdr:row>
      <xdr:rowOff>76200</xdr:rowOff>
    </xdr:from>
    <xdr:to>
      <xdr:col>11</xdr:col>
      <xdr:colOff>0</xdr:colOff>
      <xdr:row>38</xdr:row>
      <xdr:rowOff>76200</xdr:rowOff>
    </xdr:to>
    <xdr:sp macro="" textlink="">
      <xdr:nvSpPr>
        <xdr:cNvPr id="105" name="Line 2070"/>
        <xdr:cNvSpPr>
          <a:spLocks noChangeShapeType="1"/>
        </xdr:cNvSpPr>
      </xdr:nvSpPr>
      <xdr:spPr bwMode="auto">
        <a:xfrm flipV="1">
          <a:off x="5429250" y="6057900"/>
          <a:ext cx="295275" cy="9048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152400</xdr:colOff>
      <xdr:row>44</xdr:row>
      <xdr:rowOff>152400</xdr:rowOff>
    </xdr:to>
    <xdr:sp macro="" textlink="">
      <xdr:nvSpPr>
        <xdr:cNvPr id="106" name="Circle Oval"/>
        <xdr:cNvSpPr/>
      </xdr:nvSpPr>
      <xdr:spPr>
        <a:xfrm>
          <a:off x="7820025" y="79724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44</xdr:row>
      <xdr:rowOff>76200</xdr:rowOff>
    </xdr:from>
    <xdr:to>
      <xdr:col>13</xdr:col>
      <xdr:colOff>0</xdr:colOff>
      <xdr:row>44</xdr:row>
      <xdr:rowOff>76200</xdr:rowOff>
    </xdr:to>
    <xdr:sp macro="" textlink="">
      <xdr:nvSpPr>
        <xdr:cNvPr id="107" name="Line 2071"/>
        <xdr:cNvSpPr>
          <a:spLocks noChangeShapeType="1"/>
        </xdr:cNvSpPr>
      </xdr:nvSpPr>
      <xdr:spPr bwMode="auto">
        <a:xfrm>
          <a:off x="5724525" y="8048625"/>
          <a:ext cx="2095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38</xdr:row>
      <xdr:rowOff>76200</xdr:rowOff>
    </xdr:from>
    <xdr:to>
      <xdr:col>11</xdr:col>
      <xdr:colOff>0</xdr:colOff>
      <xdr:row>44</xdr:row>
      <xdr:rowOff>76200</xdr:rowOff>
    </xdr:to>
    <xdr:sp macro="" textlink="">
      <xdr:nvSpPr>
        <xdr:cNvPr id="108" name="Line 2072"/>
        <xdr:cNvSpPr>
          <a:spLocks noChangeShapeType="1"/>
        </xdr:cNvSpPr>
      </xdr:nvSpPr>
      <xdr:spPr bwMode="auto">
        <a:xfrm>
          <a:off x="5429250" y="6962775"/>
          <a:ext cx="295275" cy="10858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152400</xdr:colOff>
      <xdr:row>48</xdr:row>
      <xdr:rowOff>152400</xdr:rowOff>
    </xdr:to>
    <xdr:sp macro="" textlink="">
      <xdr:nvSpPr>
        <xdr:cNvPr id="109" name="Square Rectangle"/>
        <xdr:cNvSpPr/>
      </xdr:nvSpPr>
      <xdr:spPr>
        <a:xfrm>
          <a:off x="866775" y="8696325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48</xdr:row>
      <xdr:rowOff>76200</xdr:rowOff>
    </xdr:from>
    <xdr:to>
      <xdr:col>1</xdr:col>
      <xdr:colOff>0</xdr:colOff>
      <xdr:row>48</xdr:row>
      <xdr:rowOff>76200</xdr:rowOff>
    </xdr:to>
    <xdr:sp macro="" textlink="">
      <xdr:nvSpPr>
        <xdr:cNvPr id="110" name="Line 2073"/>
        <xdr:cNvSpPr>
          <a:spLocks noChangeShapeType="1"/>
        </xdr:cNvSpPr>
      </xdr:nvSpPr>
      <xdr:spPr bwMode="auto">
        <a:xfrm>
          <a:off x="0" y="8772525"/>
          <a:ext cx="8667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0</xdr:colOff>
      <xdr:row>7</xdr:row>
      <xdr:rowOff>0</xdr:rowOff>
    </xdr:from>
    <xdr:to>
      <xdr:col>29</xdr:col>
      <xdr:colOff>152400</xdr:colOff>
      <xdr:row>7</xdr:row>
      <xdr:rowOff>152400</xdr:rowOff>
    </xdr:to>
    <xdr:sp macro="" textlink="">
      <xdr:nvSpPr>
        <xdr:cNvPr id="2" name="Triangle Triangle"/>
        <xdr:cNvSpPr/>
      </xdr:nvSpPr>
      <xdr:spPr>
        <a:xfrm rot="16200000">
          <a:off x="11715750" y="12763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27</xdr:col>
      <xdr:colOff>0</xdr:colOff>
      <xdr:row>7</xdr:row>
      <xdr:rowOff>76200</xdr:rowOff>
    </xdr:from>
    <xdr:to>
      <xdr:col>29</xdr:col>
      <xdr:colOff>0</xdr:colOff>
      <xdr:row>7</xdr:row>
      <xdr:rowOff>76200</xdr:rowOff>
    </xdr:to>
    <xdr:sp macro="" textlink="">
      <xdr:nvSpPr>
        <xdr:cNvPr id="3" name="Line 1998"/>
        <xdr:cNvSpPr>
          <a:spLocks noChangeShapeType="1"/>
        </xdr:cNvSpPr>
      </xdr:nvSpPr>
      <xdr:spPr bwMode="auto">
        <a:xfrm>
          <a:off x="10001250" y="13525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25</xdr:col>
      <xdr:colOff>152400</xdr:colOff>
      <xdr:row>4</xdr:row>
      <xdr:rowOff>76200</xdr:rowOff>
    </xdr:from>
    <xdr:to>
      <xdr:col>27</xdr:col>
      <xdr:colOff>0</xdr:colOff>
      <xdr:row>7</xdr:row>
      <xdr:rowOff>76200</xdr:rowOff>
    </xdr:to>
    <xdr:sp macro="" textlink="">
      <xdr:nvSpPr>
        <xdr:cNvPr id="4" name="Line 1999"/>
        <xdr:cNvSpPr>
          <a:spLocks noChangeShapeType="1"/>
        </xdr:cNvSpPr>
      </xdr:nvSpPr>
      <xdr:spPr bwMode="auto">
        <a:xfrm>
          <a:off x="9705975" y="809625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29</xdr:col>
      <xdr:colOff>0</xdr:colOff>
      <xdr:row>2</xdr:row>
      <xdr:rowOff>0</xdr:rowOff>
    </xdr:from>
    <xdr:to>
      <xdr:col>29</xdr:col>
      <xdr:colOff>152400</xdr:colOff>
      <xdr:row>2</xdr:row>
      <xdr:rowOff>152400</xdr:rowOff>
    </xdr:to>
    <xdr:sp macro="" textlink="">
      <xdr:nvSpPr>
        <xdr:cNvPr id="5" name="Triangle Triangle"/>
        <xdr:cNvSpPr/>
      </xdr:nvSpPr>
      <xdr:spPr>
        <a:xfrm rot="16200000">
          <a:off x="11715750" y="3714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27</xdr:col>
      <xdr:colOff>0</xdr:colOff>
      <xdr:row>2</xdr:row>
      <xdr:rowOff>76200</xdr:rowOff>
    </xdr:from>
    <xdr:to>
      <xdr:col>29</xdr:col>
      <xdr:colOff>0</xdr:colOff>
      <xdr:row>2</xdr:row>
      <xdr:rowOff>76200</xdr:rowOff>
    </xdr:to>
    <xdr:sp macro="" textlink="">
      <xdr:nvSpPr>
        <xdr:cNvPr id="6" name="Line 2000"/>
        <xdr:cNvSpPr>
          <a:spLocks noChangeShapeType="1"/>
        </xdr:cNvSpPr>
      </xdr:nvSpPr>
      <xdr:spPr bwMode="auto">
        <a:xfrm>
          <a:off x="10001250" y="4476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25</xdr:col>
      <xdr:colOff>152400</xdr:colOff>
      <xdr:row>2</xdr:row>
      <xdr:rowOff>76200</xdr:rowOff>
    </xdr:from>
    <xdr:to>
      <xdr:col>27</xdr:col>
      <xdr:colOff>0</xdr:colOff>
      <xdr:row>4</xdr:row>
      <xdr:rowOff>76200</xdr:rowOff>
    </xdr:to>
    <xdr:sp macro="" textlink="">
      <xdr:nvSpPr>
        <xdr:cNvPr id="7" name="Line 2001"/>
        <xdr:cNvSpPr>
          <a:spLocks noChangeShapeType="1"/>
        </xdr:cNvSpPr>
      </xdr:nvSpPr>
      <xdr:spPr bwMode="auto">
        <a:xfrm flipV="1">
          <a:off x="9705975" y="447675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17</xdr:row>
      <xdr:rowOff>0</xdr:rowOff>
    </xdr:from>
    <xdr:to>
      <xdr:col>25</xdr:col>
      <xdr:colOff>152400</xdr:colOff>
      <xdr:row>17</xdr:row>
      <xdr:rowOff>152400</xdr:rowOff>
    </xdr:to>
    <xdr:sp macro="" textlink="">
      <xdr:nvSpPr>
        <xdr:cNvPr id="8" name="Triangle Triangle"/>
        <xdr:cNvSpPr/>
      </xdr:nvSpPr>
      <xdr:spPr>
        <a:xfrm rot="16200000">
          <a:off x="9553575" y="30861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17</xdr:row>
      <xdr:rowOff>76200</xdr:rowOff>
    </xdr:from>
    <xdr:to>
      <xdr:col>29</xdr:col>
      <xdr:colOff>0</xdr:colOff>
      <xdr:row>17</xdr:row>
      <xdr:rowOff>76200</xdr:rowOff>
    </xdr:to>
    <xdr:sp macro="" textlink="">
      <xdr:nvSpPr>
        <xdr:cNvPr id="9" name="Line 2002"/>
        <xdr:cNvSpPr>
          <a:spLocks noChangeShapeType="1"/>
        </xdr:cNvSpPr>
      </xdr:nvSpPr>
      <xdr:spPr bwMode="auto">
        <a:xfrm>
          <a:off x="9705975" y="316230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17</xdr:row>
      <xdr:rowOff>76200</xdr:rowOff>
    </xdr:from>
    <xdr:to>
      <xdr:col>25</xdr:col>
      <xdr:colOff>0</xdr:colOff>
      <xdr:row>17</xdr:row>
      <xdr:rowOff>76200</xdr:rowOff>
    </xdr:to>
    <xdr:sp macro="" textlink="">
      <xdr:nvSpPr>
        <xdr:cNvPr id="10" name="Line 2003"/>
        <xdr:cNvSpPr>
          <a:spLocks noChangeShapeType="1"/>
        </xdr:cNvSpPr>
      </xdr:nvSpPr>
      <xdr:spPr bwMode="auto">
        <a:xfrm>
          <a:off x="7839075" y="31623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17</xdr:row>
      <xdr:rowOff>76200</xdr:rowOff>
    </xdr:from>
    <xdr:to>
      <xdr:col>22</xdr:col>
      <xdr:colOff>0</xdr:colOff>
      <xdr:row>19</xdr:row>
      <xdr:rowOff>76200</xdr:rowOff>
    </xdr:to>
    <xdr:sp macro="" textlink="">
      <xdr:nvSpPr>
        <xdr:cNvPr id="11" name="Line 2004"/>
        <xdr:cNvSpPr>
          <a:spLocks noChangeShapeType="1"/>
        </xdr:cNvSpPr>
      </xdr:nvSpPr>
      <xdr:spPr bwMode="auto">
        <a:xfrm flipV="1">
          <a:off x="7543800" y="316230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12</xdr:row>
      <xdr:rowOff>0</xdr:rowOff>
    </xdr:from>
    <xdr:to>
      <xdr:col>25</xdr:col>
      <xdr:colOff>152400</xdr:colOff>
      <xdr:row>12</xdr:row>
      <xdr:rowOff>152400</xdr:rowOff>
    </xdr:to>
    <xdr:sp macro="" textlink="">
      <xdr:nvSpPr>
        <xdr:cNvPr id="12" name="Triangle Triangle"/>
        <xdr:cNvSpPr/>
      </xdr:nvSpPr>
      <xdr:spPr>
        <a:xfrm rot="16200000">
          <a:off x="9553575" y="21812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12</xdr:row>
      <xdr:rowOff>76200</xdr:rowOff>
    </xdr:from>
    <xdr:to>
      <xdr:col>29</xdr:col>
      <xdr:colOff>0</xdr:colOff>
      <xdr:row>12</xdr:row>
      <xdr:rowOff>76200</xdr:rowOff>
    </xdr:to>
    <xdr:sp macro="" textlink="">
      <xdr:nvSpPr>
        <xdr:cNvPr id="13" name="Line 2005"/>
        <xdr:cNvSpPr>
          <a:spLocks noChangeShapeType="1"/>
        </xdr:cNvSpPr>
      </xdr:nvSpPr>
      <xdr:spPr bwMode="auto">
        <a:xfrm>
          <a:off x="9725025" y="2187575"/>
          <a:ext cx="2006600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12</xdr:row>
      <xdr:rowOff>76200</xdr:rowOff>
    </xdr:from>
    <xdr:to>
      <xdr:col>25</xdr:col>
      <xdr:colOff>0</xdr:colOff>
      <xdr:row>12</xdr:row>
      <xdr:rowOff>76200</xdr:rowOff>
    </xdr:to>
    <xdr:sp macro="" textlink="">
      <xdr:nvSpPr>
        <xdr:cNvPr id="14" name="Line 2006"/>
        <xdr:cNvSpPr>
          <a:spLocks noChangeShapeType="1"/>
        </xdr:cNvSpPr>
      </xdr:nvSpPr>
      <xdr:spPr bwMode="auto">
        <a:xfrm>
          <a:off x="7839075" y="22574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8</xdr:row>
      <xdr:rowOff>76200</xdr:rowOff>
    </xdr:from>
    <xdr:to>
      <xdr:col>22</xdr:col>
      <xdr:colOff>0</xdr:colOff>
      <xdr:row>12</xdr:row>
      <xdr:rowOff>76200</xdr:rowOff>
    </xdr:to>
    <xdr:sp macro="" textlink="">
      <xdr:nvSpPr>
        <xdr:cNvPr id="15" name="Line 2007"/>
        <xdr:cNvSpPr>
          <a:spLocks noChangeShapeType="1"/>
        </xdr:cNvSpPr>
      </xdr:nvSpPr>
      <xdr:spPr bwMode="auto">
        <a:xfrm>
          <a:off x="7543800" y="1533525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82</xdr:row>
      <xdr:rowOff>0</xdr:rowOff>
    </xdr:from>
    <xdr:to>
      <xdr:col>20</xdr:col>
      <xdr:colOff>152400</xdr:colOff>
      <xdr:row>82</xdr:row>
      <xdr:rowOff>152400</xdr:rowOff>
    </xdr:to>
    <xdr:sp macro="" textlink="">
      <xdr:nvSpPr>
        <xdr:cNvPr id="16" name="Triangle Triangle"/>
        <xdr:cNvSpPr/>
      </xdr:nvSpPr>
      <xdr:spPr>
        <a:xfrm rot="16200000">
          <a:off x="7391400" y="148494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20</xdr:col>
      <xdr:colOff>152400</xdr:colOff>
      <xdr:row>82</xdr:row>
      <xdr:rowOff>76200</xdr:rowOff>
    </xdr:from>
    <xdr:to>
      <xdr:col>29</xdr:col>
      <xdr:colOff>0</xdr:colOff>
      <xdr:row>82</xdr:row>
      <xdr:rowOff>76200</xdr:rowOff>
    </xdr:to>
    <xdr:sp macro="" textlink="">
      <xdr:nvSpPr>
        <xdr:cNvPr id="17" name="Line 2008"/>
        <xdr:cNvSpPr>
          <a:spLocks noChangeShapeType="1"/>
        </xdr:cNvSpPr>
      </xdr:nvSpPr>
      <xdr:spPr bwMode="auto">
        <a:xfrm>
          <a:off x="7543800" y="14925675"/>
          <a:ext cx="4171950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16</xdr:col>
      <xdr:colOff>0</xdr:colOff>
      <xdr:row>82</xdr:row>
      <xdr:rowOff>76200</xdr:rowOff>
    </xdr:from>
    <xdr:to>
      <xdr:col>20</xdr:col>
      <xdr:colOff>0</xdr:colOff>
      <xdr:row>82</xdr:row>
      <xdr:rowOff>76200</xdr:rowOff>
    </xdr:to>
    <xdr:sp macro="" textlink="">
      <xdr:nvSpPr>
        <xdr:cNvPr id="18" name="Line 2009"/>
        <xdr:cNvSpPr>
          <a:spLocks noChangeShapeType="1"/>
        </xdr:cNvSpPr>
      </xdr:nvSpPr>
      <xdr:spPr bwMode="auto">
        <a:xfrm>
          <a:off x="5676900" y="149256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79</xdr:row>
      <xdr:rowOff>76200</xdr:rowOff>
    </xdr:from>
    <xdr:to>
      <xdr:col>16</xdr:col>
      <xdr:colOff>0</xdr:colOff>
      <xdr:row>82</xdr:row>
      <xdr:rowOff>76200</xdr:rowOff>
    </xdr:to>
    <xdr:sp macro="" textlink="">
      <xdr:nvSpPr>
        <xdr:cNvPr id="19" name="Line 2010"/>
        <xdr:cNvSpPr>
          <a:spLocks noChangeShapeType="1"/>
        </xdr:cNvSpPr>
      </xdr:nvSpPr>
      <xdr:spPr bwMode="auto">
        <a:xfrm>
          <a:off x="5381625" y="14382750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77</xdr:row>
      <xdr:rowOff>0</xdr:rowOff>
    </xdr:from>
    <xdr:to>
      <xdr:col>20</xdr:col>
      <xdr:colOff>152400</xdr:colOff>
      <xdr:row>77</xdr:row>
      <xdr:rowOff>152400</xdr:rowOff>
    </xdr:to>
    <xdr:sp macro="" textlink="">
      <xdr:nvSpPr>
        <xdr:cNvPr id="20" name="Triangle Triangle"/>
        <xdr:cNvSpPr/>
      </xdr:nvSpPr>
      <xdr:spPr>
        <a:xfrm rot="16200000">
          <a:off x="7391400" y="139446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20</xdr:col>
      <xdr:colOff>152400</xdr:colOff>
      <xdr:row>77</xdr:row>
      <xdr:rowOff>76200</xdr:rowOff>
    </xdr:from>
    <xdr:to>
      <xdr:col>29</xdr:col>
      <xdr:colOff>0</xdr:colOff>
      <xdr:row>77</xdr:row>
      <xdr:rowOff>76200</xdr:rowOff>
    </xdr:to>
    <xdr:sp macro="" textlink="">
      <xdr:nvSpPr>
        <xdr:cNvPr id="21" name="Line 2011"/>
        <xdr:cNvSpPr>
          <a:spLocks noChangeShapeType="1"/>
        </xdr:cNvSpPr>
      </xdr:nvSpPr>
      <xdr:spPr bwMode="auto">
        <a:xfrm>
          <a:off x="7543800" y="14020800"/>
          <a:ext cx="4171950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16</xdr:col>
      <xdr:colOff>0</xdr:colOff>
      <xdr:row>77</xdr:row>
      <xdr:rowOff>76200</xdr:rowOff>
    </xdr:from>
    <xdr:to>
      <xdr:col>20</xdr:col>
      <xdr:colOff>0</xdr:colOff>
      <xdr:row>77</xdr:row>
      <xdr:rowOff>76200</xdr:rowOff>
    </xdr:to>
    <xdr:sp macro="" textlink="">
      <xdr:nvSpPr>
        <xdr:cNvPr id="22" name="Line 2012"/>
        <xdr:cNvSpPr>
          <a:spLocks noChangeShapeType="1"/>
        </xdr:cNvSpPr>
      </xdr:nvSpPr>
      <xdr:spPr bwMode="auto">
        <a:xfrm>
          <a:off x="5676900" y="140208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77</xdr:row>
      <xdr:rowOff>76200</xdr:rowOff>
    </xdr:from>
    <xdr:to>
      <xdr:col>16</xdr:col>
      <xdr:colOff>0</xdr:colOff>
      <xdr:row>79</xdr:row>
      <xdr:rowOff>76200</xdr:rowOff>
    </xdr:to>
    <xdr:sp macro="" textlink="">
      <xdr:nvSpPr>
        <xdr:cNvPr id="23" name="Line 2013"/>
        <xdr:cNvSpPr>
          <a:spLocks noChangeShapeType="1"/>
        </xdr:cNvSpPr>
      </xdr:nvSpPr>
      <xdr:spPr bwMode="auto">
        <a:xfrm flipV="1">
          <a:off x="5381625" y="1402080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4</xdr:row>
      <xdr:rowOff>0</xdr:rowOff>
    </xdr:from>
    <xdr:to>
      <xdr:col>25</xdr:col>
      <xdr:colOff>152400</xdr:colOff>
      <xdr:row>4</xdr:row>
      <xdr:rowOff>152400</xdr:rowOff>
    </xdr:to>
    <xdr:sp macro="" textlink="">
      <xdr:nvSpPr>
        <xdr:cNvPr id="24" name="Circle Oval"/>
        <xdr:cNvSpPr/>
      </xdr:nvSpPr>
      <xdr:spPr>
        <a:xfrm>
          <a:off x="9553575" y="7334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22</xdr:col>
      <xdr:colOff>0</xdr:colOff>
      <xdr:row>4</xdr:row>
      <xdr:rowOff>76200</xdr:rowOff>
    </xdr:from>
    <xdr:to>
      <xdr:col>25</xdr:col>
      <xdr:colOff>0</xdr:colOff>
      <xdr:row>4</xdr:row>
      <xdr:rowOff>76200</xdr:rowOff>
    </xdr:to>
    <xdr:sp macro="" textlink="">
      <xdr:nvSpPr>
        <xdr:cNvPr id="25" name="Line 2014"/>
        <xdr:cNvSpPr>
          <a:spLocks noChangeShapeType="1"/>
        </xdr:cNvSpPr>
      </xdr:nvSpPr>
      <xdr:spPr bwMode="auto">
        <a:xfrm>
          <a:off x="7839075" y="8096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4</xdr:row>
      <xdr:rowOff>76200</xdr:rowOff>
    </xdr:from>
    <xdr:to>
      <xdr:col>22</xdr:col>
      <xdr:colOff>0</xdr:colOff>
      <xdr:row>8</xdr:row>
      <xdr:rowOff>76200</xdr:rowOff>
    </xdr:to>
    <xdr:sp macro="" textlink="">
      <xdr:nvSpPr>
        <xdr:cNvPr id="26" name="Line 2015"/>
        <xdr:cNvSpPr>
          <a:spLocks noChangeShapeType="1"/>
        </xdr:cNvSpPr>
      </xdr:nvSpPr>
      <xdr:spPr bwMode="auto">
        <a:xfrm flipV="1">
          <a:off x="7543800" y="809625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152400</xdr:colOff>
      <xdr:row>71</xdr:row>
      <xdr:rowOff>152400</xdr:rowOff>
    </xdr:to>
    <xdr:sp macro="" textlink="">
      <xdr:nvSpPr>
        <xdr:cNvPr id="27" name="Circle Oval"/>
        <xdr:cNvSpPr/>
      </xdr:nvSpPr>
      <xdr:spPr>
        <a:xfrm>
          <a:off x="3048000" y="128587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71</xdr:row>
      <xdr:rowOff>76200</xdr:rowOff>
    </xdr:from>
    <xdr:to>
      <xdr:col>8</xdr:col>
      <xdr:colOff>0</xdr:colOff>
      <xdr:row>71</xdr:row>
      <xdr:rowOff>76200</xdr:rowOff>
    </xdr:to>
    <xdr:sp macro="" textlink="">
      <xdr:nvSpPr>
        <xdr:cNvPr id="28" name="Line 2016"/>
        <xdr:cNvSpPr>
          <a:spLocks noChangeShapeType="1"/>
        </xdr:cNvSpPr>
      </xdr:nvSpPr>
      <xdr:spPr bwMode="auto">
        <a:xfrm>
          <a:off x="1314450" y="12934950"/>
          <a:ext cx="173355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</xdr:col>
      <xdr:colOff>152400</xdr:colOff>
      <xdr:row>48</xdr:row>
      <xdr:rowOff>76200</xdr:rowOff>
    </xdr:from>
    <xdr:to>
      <xdr:col>4</xdr:col>
      <xdr:colOff>0</xdr:colOff>
      <xdr:row>71</xdr:row>
      <xdr:rowOff>76200</xdr:rowOff>
    </xdr:to>
    <xdr:sp macro="" textlink="">
      <xdr:nvSpPr>
        <xdr:cNvPr id="29" name="Line 2017"/>
        <xdr:cNvSpPr>
          <a:spLocks noChangeShapeType="1"/>
        </xdr:cNvSpPr>
      </xdr:nvSpPr>
      <xdr:spPr bwMode="auto">
        <a:xfrm>
          <a:off x="1019175" y="8772525"/>
          <a:ext cx="295275" cy="41624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72</xdr:row>
      <xdr:rowOff>0</xdr:rowOff>
    </xdr:from>
    <xdr:to>
      <xdr:col>25</xdr:col>
      <xdr:colOff>152400</xdr:colOff>
      <xdr:row>72</xdr:row>
      <xdr:rowOff>152400</xdr:rowOff>
    </xdr:to>
    <xdr:sp macro="" textlink="">
      <xdr:nvSpPr>
        <xdr:cNvPr id="30" name="Triangle Triangle"/>
        <xdr:cNvSpPr/>
      </xdr:nvSpPr>
      <xdr:spPr>
        <a:xfrm rot="16200000">
          <a:off x="9553575" y="130397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72</xdr:row>
      <xdr:rowOff>76200</xdr:rowOff>
    </xdr:from>
    <xdr:to>
      <xdr:col>29</xdr:col>
      <xdr:colOff>0</xdr:colOff>
      <xdr:row>72</xdr:row>
      <xdr:rowOff>76200</xdr:rowOff>
    </xdr:to>
    <xdr:sp macro="" textlink="">
      <xdr:nvSpPr>
        <xdr:cNvPr id="31" name="Line 2018"/>
        <xdr:cNvSpPr>
          <a:spLocks noChangeShapeType="1"/>
        </xdr:cNvSpPr>
      </xdr:nvSpPr>
      <xdr:spPr bwMode="auto">
        <a:xfrm>
          <a:off x="9705975" y="1311592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72</xdr:row>
      <xdr:rowOff>76200</xdr:rowOff>
    </xdr:from>
    <xdr:to>
      <xdr:col>25</xdr:col>
      <xdr:colOff>0</xdr:colOff>
      <xdr:row>72</xdr:row>
      <xdr:rowOff>76200</xdr:rowOff>
    </xdr:to>
    <xdr:sp macro="" textlink="">
      <xdr:nvSpPr>
        <xdr:cNvPr id="32" name="Line 2019"/>
        <xdr:cNvSpPr>
          <a:spLocks noChangeShapeType="1"/>
        </xdr:cNvSpPr>
      </xdr:nvSpPr>
      <xdr:spPr bwMode="auto">
        <a:xfrm>
          <a:off x="7839075" y="131159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69</xdr:row>
      <xdr:rowOff>76200</xdr:rowOff>
    </xdr:from>
    <xdr:to>
      <xdr:col>22</xdr:col>
      <xdr:colOff>0</xdr:colOff>
      <xdr:row>72</xdr:row>
      <xdr:rowOff>76200</xdr:rowOff>
    </xdr:to>
    <xdr:sp macro="" textlink="">
      <xdr:nvSpPr>
        <xdr:cNvPr id="33" name="Line 2020"/>
        <xdr:cNvSpPr>
          <a:spLocks noChangeShapeType="1"/>
        </xdr:cNvSpPr>
      </xdr:nvSpPr>
      <xdr:spPr bwMode="auto">
        <a:xfrm>
          <a:off x="7543800" y="12573000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67</xdr:row>
      <xdr:rowOff>0</xdr:rowOff>
    </xdr:from>
    <xdr:to>
      <xdr:col>25</xdr:col>
      <xdr:colOff>152400</xdr:colOff>
      <xdr:row>67</xdr:row>
      <xdr:rowOff>152400</xdr:rowOff>
    </xdr:to>
    <xdr:sp macro="" textlink="">
      <xdr:nvSpPr>
        <xdr:cNvPr id="34" name="Triangle Triangle"/>
        <xdr:cNvSpPr/>
      </xdr:nvSpPr>
      <xdr:spPr>
        <a:xfrm rot="16200000">
          <a:off x="9553575" y="121348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67</xdr:row>
      <xdr:rowOff>76200</xdr:rowOff>
    </xdr:from>
    <xdr:to>
      <xdr:col>29</xdr:col>
      <xdr:colOff>0</xdr:colOff>
      <xdr:row>67</xdr:row>
      <xdr:rowOff>76200</xdr:rowOff>
    </xdr:to>
    <xdr:sp macro="" textlink="">
      <xdr:nvSpPr>
        <xdr:cNvPr id="35" name="Line 2021"/>
        <xdr:cNvSpPr>
          <a:spLocks noChangeShapeType="1"/>
        </xdr:cNvSpPr>
      </xdr:nvSpPr>
      <xdr:spPr bwMode="auto">
        <a:xfrm>
          <a:off x="9705975" y="1221105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67</xdr:row>
      <xdr:rowOff>76200</xdr:rowOff>
    </xdr:from>
    <xdr:to>
      <xdr:col>25</xdr:col>
      <xdr:colOff>0</xdr:colOff>
      <xdr:row>67</xdr:row>
      <xdr:rowOff>76200</xdr:rowOff>
    </xdr:to>
    <xdr:sp macro="" textlink="">
      <xdr:nvSpPr>
        <xdr:cNvPr id="36" name="Line 2022"/>
        <xdr:cNvSpPr>
          <a:spLocks noChangeShapeType="1"/>
        </xdr:cNvSpPr>
      </xdr:nvSpPr>
      <xdr:spPr bwMode="auto">
        <a:xfrm>
          <a:off x="7839075" y="122110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67</xdr:row>
      <xdr:rowOff>76200</xdr:rowOff>
    </xdr:from>
    <xdr:to>
      <xdr:col>22</xdr:col>
      <xdr:colOff>0</xdr:colOff>
      <xdr:row>69</xdr:row>
      <xdr:rowOff>76200</xdr:rowOff>
    </xdr:to>
    <xdr:sp macro="" textlink="">
      <xdr:nvSpPr>
        <xdr:cNvPr id="37" name="Line 2023"/>
        <xdr:cNvSpPr>
          <a:spLocks noChangeShapeType="1"/>
        </xdr:cNvSpPr>
      </xdr:nvSpPr>
      <xdr:spPr bwMode="auto">
        <a:xfrm flipV="1">
          <a:off x="7543800" y="1221105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62</xdr:row>
      <xdr:rowOff>0</xdr:rowOff>
    </xdr:from>
    <xdr:to>
      <xdr:col>25</xdr:col>
      <xdr:colOff>152400</xdr:colOff>
      <xdr:row>62</xdr:row>
      <xdr:rowOff>152400</xdr:rowOff>
    </xdr:to>
    <xdr:sp macro="" textlink="">
      <xdr:nvSpPr>
        <xdr:cNvPr id="38" name="Triangle Triangle"/>
        <xdr:cNvSpPr/>
      </xdr:nvSpPr>
      <xdr:spPr>
        <a:xfrm rot="16200000">
          <a:off x="9553575" y="112299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62</xdr:row>
      <xdr:rowOff>76200</xdr:rowOff>
    </xdr:from>
    <xdr:to>
      <xdr:col>29</xdr:col>
      <xdr:colOff>0</xdr:colOff>
      <xdr:row>62</xdr:row>
      <xdr:rowOff>76200</xdr:rowOff>
    </xdr:to>
    <xdr:sp macro="" textlink="">
      <xdr:nvSpPr>
        <xdr:cNvPr id="39" name="Line 2024"/>
        <xdr:cNvSpPr>
          <a:spLocks noChangeShapeType="1"/>
        </xdr:cNvSpPr>
      </xdr:nvSpPr>
      <xdr:spPr bwMode="auto">
        <a:xfrm>
          <a:off x="9705975" y="1130617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62</xdr:row>
      <xdr:rowOff>76200</xdr:rowOff>
    </xdr:from>
    <xdr:to>
      <xdr:col>25</xdr:col>
      <xdr:colOff>0</xdr:colOff>
      <xdr:row>62</xdr:row>
      <xdr:rowOff>76200</xdr:rowOff>
    </xdr:to>
    <xdr:sp macro="" textlink="">
      <xdr:nvSpPr>
        <xdr:cNvPr id="40" name="Line 2025"/>
        <xdr:cNvSpPr>
          <a:spLocks noChangeShapeType="1"/>
        </xdr:cNvSpPr>
      </xdr:nvSpPr>
      <xdr:spPr bwMode="auto">
        <a:xfrm>
          <a:off x="7839075" y="113061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58</xdr:row>
      <xdr:rowOff>76200</xdr:rowOff>
    </xdr:from>
    <xdr:to>
      <xdr:col>22</xdr:col>
      <xdr:colOff>0</xdr:colOff>
      <xdr:row>62</xdr:row>
      <xdr:rowOff>76200</xdr:rowOff>
    </xdr:to>
    <xdr:sp macro="" textlink="">
      <xdr:nvSpPr>
        <xdr:cNvPr id="41" name="Line 2026"/>
        <xdr:cNvSpPr>
          <a:spLocks noChangeShapeType="1"/>
        </xdr:cNvSpPr>
      </xdr:nvSpPr>
      <xdr:spPr bwMode="auto">
        <a:xfrm>
          <a:off x="7543800" y="10582275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54</xdr:row>
      <xdr:rowOff>0</xdr:rowOff>
    </xdr:from>
    <xdr:to>
      <xdr:col>25</xdr:col>
      <xdr:colOff>152400</xdr:colOff>
      <xdr:row>54</xdr:row>
      <xdr:rowOff>152400</xdr:rowOff>
    </xdr:to>
    <xdr:sp macro="" textlink="">
      <xdr:nvSpPr>
        <xdr:cNvPr id="42" name="Circle Oval"/>
        <xdr:cNvSpPr/>
      </xdr:nvSpPr>
      <xdr:spPr>
        <a:xfrm>
          <a:off x="9553575" y="97821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22</xdr:col>
      <xdr:colOff>0</xdr:colOff>
      <xdr:row>54</xdr:row>
      <xdr:rowOff>76200</xdr:rowOff>
    </xdr:from>
    <xdr:to>
      <xdr:col>25</xdr:col>
      <xdr:colOff>0</xdr:colOff>
      <xdr:row>54</xdr:row>
      <xdr:rowOff>76200</xdr:rowOff>
    </xdr:to>
    <xdr:sp macro="" textlink="">
      <xdr:nvSpPr>
        <xdr:cNvPr id="43" name="Line 2027"/>
        <xdr:cNvSpPr>
          <a:spLocks noChangeShapeType="1"/>
        </xdr:cNvSpPr>
      </xdr:nvSpPr>
      <xdr:spPr bwMode="auto">
        <a:xfrm>
          <a:off x="7839075" y="98583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54</xdr:row>
      <xdr:rowOff>76200</xdr:rowOff>
    </xdr:from>
    <xdr:to>
      <xdr:col>22</xdr:col>
      <xdr:colOff>0</xdr:colOff>
      <xdr:row>58</xdr:row>
      <xdr:rowOff>76200</xdr:rowOff>
    </xdr:to>
    <xdr:sp macro="" textlink="">
      <xdr:nvSpPr>
        <xdr:cNvPr id="44" name="Line 2028"/>
        <xdr:cNvSpPr>
          <a:spLocks noChangeShapeType="1"/>
        </xdr:cNvSpPr>
      </xdr:nvSpPr>
      <xdr:spPr bwMode="auto">
        <a:xfrm flipV="1">
          <a:off x="7543800" y="9858375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69</xdr:row>
      <xdr:rowOff>0</xdr:rowOff>
    </xdr:from>
    <xdr:to>
      <xdr:col>20</xdr:col>
      <xdr:colOff>152400</xdr:colOff>
      <xdr:row>69</xdr:row>
      <xdr:rowOff>152400</xdr:rowOff>
    </xdr:to>
    <xdr:sp macro="" textlink="">
      <xdr:nvSpPr>
        <xdr:cNvPr id="45" name="Circle Oval"/>
        <xdr:cNvSpPr/>
      </xdr:nvSpPr>
      <xdr:spPr>
        <a:xfrm>
          <a:off x="7391400" y="124968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69</xdr:row>
      <xdr:rowOff>76200</xdr:rowOff>
    </xdr:from>
    <xdr:to>
      <xdr:col>20</xdr:col>
      <xdr:colOff>0</xdr:colOff>
      <xdr:row>69</xdr:row>
      <xdr:rowOff>76200</xdr:rowOff>
    </xdr:to>
    <xdr:sp macro="" textlink="">
      <xdr:nvSpPr>
        <xdr:cNvPr id="46" name="Line 2029"/>
        <xdr:cNvSpPr>
          <a:spLocks noChangeShapeType="1"/>
        </xdr:cNvSpPr>
      </xdr:nvSpPr>
      <xdr:spPr bwMode="auto">
        <a:xfrm>
          <a:off x="5676900" y="125730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63</xdr:row>
      <xdr:rowOff>76200</xdr:rowOff>
    </xdr:from>
    <xdr:to>
      <xdr:col>16</xdr:col>
      <xdr:colOff>0</xdr:colOff>
      <xdr:row>69</xdr:row>
      <xdr:rowOff>76200</xdr:rowOff>
    </xdr:to>
    <xdr:sp macro="" textlink="">
      <xdr:nvSpPr>
        <xdr:cNvPr id="47" name="Line 2030"/>
        <xdr:cNvSpPr>
          <a:spLocks noChangeShapeType="1"/>
        </xdr:cNvSpPr>
      </xdr:nvSpPr>
      <xdr:spPr bwMode="auto">
        <a:xfrm>
          <a:off x="5381625" y="11487150"/>
          <a:ext cx="295275" cy="10858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58</xdr:row>
      <xdr:rowOff>0</xdr:rowOff>
    </xdr:from>
    <xdr:to>
      <xdr:col>20</xdr:col>
      <xdr:colOff>152400</xdr:colOff>
      <xdr:row>58</xdr:row>
      <xdr:rowOff>152400</xdr:rowOff>
    </xdr:to>
    <xdr:sp macro="" textlink="">
      <xdr:nvSpPr>
        <xdr:cNvPr id="48" name="Circle Oval"/>
        <xdr:cNvSpPr/>
      </xdr:nvSpPr>
      <xdr:spPr>
        <a:xfrm>
          <a:off x="7391400" y="105060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58</xdr:row>
      <xdr:rowOff>76200</xdr:rowOff>
    </xdr:from>
    <xdr:to>
      <xdr:col>20</xdr:col>
      <xdr:colOff>0</xdr:colOff>
      <xdr:row>58</xdr:row>
      <xdr:rowOff>76200</xdr:rowOff>
    </xdr:to>
    <xdr:sp macro="" textlink="">
      <xdr:nvSpPr>
        <xdr:cNvPr id="49" name="Line 2031"/>
        <xdr:cNvSpPr>
          <a:spLocks noChangeShapeType="1"/>
        </xdr:cNvSpPr>
      </xdr:nvSpPr>
      <xdr:spPr bwMode="auto">
        <a:xfrm>
          <a:off x="5676900" y="105822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58</xdr:row>
      <xdr:rowOff>76200</xdr:rowOff>
    </xdr:from>
    <xdr:to>
      <xdr:col>16</xdr:col>
      <xdr:colOff>0</xdr:colOff>
      <xdr:row>63</xdr:row>
      <xdr:rowOff>76200</xdr:rowOff>
    </xdr:to>
    <xdr:sp macro="" textlink="">
      <xdr:nvSpPr>
        <xdr:cNvPr id="50" name="Line 2032"/>
        <xdr:cNvSpPr>
          <a:spLocks noChangeShapeType="1"/>
        </xdr:cNvSpPr>
      </xdr:nvSpPr>
      <xdr:spPr bwMode="auto">
        <a:xfrm flipV="1">
          <a:off x="5381625" y="10582275"/>
          <a:ext cx="295275" cy="9048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14</xdr:col>
      <xdr:colOff>0</xdr:colOff>
      <xdr:row>79</xdr:row>
      <xdr:rowOff>0</xdr:rowOff>
    </xdr:from>
    <xdr:to>
      <xdr:col>14</xdr:col>
      <xdr:colOff>152400</xdr:colOff>
      <xdr:row>79</xdr:row>
      <xdr:rowOff>152400</xdr:rowOff>
    </xdr:to>
    <xdr:sp macro="" textlink="">
      <xdr:nvSpPr>
        <xdr:cNvPr id="51" name="Circle Oval"/>
        <xdr:cNvSpPr/>
      </xdr:nvSpPr>
      <xdr:spPr>
        <a:xfrm>
          <a:off x="5229225" y="143065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0</xdr:colOff>
      <xdr:row>79</xdr:row>
      <xdr:rowOff>76200</xdr:rowOff>
    </xdr:from>
    <xdr:to>
      <xdr:col>14</xdr:col>
      <xdr:colOff>0</xdr:colOff>
      <xdr:row>79</xdr:row>
      <xdr:rowOff>76200</xdr:rowOff>
    </xdr:to>
    <xdr:sp macro="" textlink="">
      <xdr:nvSpPr>
        <xdr:cNvPr id="52" name="Line 2033"/>
        <xdr:cNvSpPr>
          <a:spLocks noChangeShapeType="1"/>
        </xdr:cNvSpPr>
      </xdr:nvSpPr>
      <xdr:spPr bwMode="auto">
        <a:xfrm>
          <a:off x="3495675" y="14382750"/>
          <a:ext cx="173355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8</xdr:col>
      <xdr:colOff>152400</xdr:colOff>
      <xdr:row>71</xdr:row>
      <xdr:rowOff>76200</xdr:rowOff>
    </xdr:from>
    <xdr:to>
      <xdr:col>10</xdr:col>
      <xdr:colOff>0</xdr:colOff>
      <xdr:row>79</xdr:row>
      <xdr:rowOff>76200</xdr:rowOff>
    </xdr:to>
    <xdr:sp macro="" textlink="">
      <xdr:nvSpPr>
        <xdr:cNvPr id="53" name="Line 2034"/>
        <xdr:cNvSpPr>
          <a:spLocks noChangeShapeType="1"/>
        </xdr:cNvSpPr>
      </xdr:nvSpPr>
      <xdr:spPr bwMode="auto">
        <a:xfrm>
          <a:off x="3200400" y="12934950"/>
          <a:ext cx="295275" cy="14478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14</xdr:col>
      <xdr:colOff>0</xdr:colOff>
      <xdr:row>63</xdr:row>
      <xdr:rowOff>0</xdr:rowOff>
    </xdr:from>
    <xdr:to>
      <xdr:col>14</xdr:col>
      <xdr:colOff>152400</xdr:colOff>
      <xdr:row>63</xdr:row>
      <xdr:rowOff>152400</xdr:rowOff>
    </xdr:to>
    <xdr:sp macro="" textlink="">
      <xdr:nvSpPr>
        <xdr:cNvPr id="54" name="Square Rectangle"/>
        <xdr:cNvSpPr/>
      </xdr:nvSpPr>
      <xdr:spPr>
        <a:xfrm>
          <a:off x="5229225" y="11410950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  <a:extLst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0</xdr:colOff>
      <xdr:row>63</xdr:row>
      <xdr:rowOff>76200</xdr:rowOff>
    </xdr:from>
    <xdr:to>
      <xdr:col>14</xdr:col>
      <xdr:colOff>0</xdr:colOff>
      <xdr:row>63</xdr:row>
      <xdr:rowOff>76200</xdr:rowOff>
    </xdr:to>
    <xdr:sp macro="" textlink="">
      <xdr:nvSpPr>
        <xdr:cNvPr id="55" name="Line 2035"/>
        <xdr:cNvSpPr>
          <a:spLocks noChangeShapeType="1"/>
        </xdr:cNvSpPr>
      </xdr:nvSpPr>
      <xdr:spPr bwMode="auto">
        <a:xfrm>
          <a:off x="3495675" y="11487150"/>
          <a:ext cx="173355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8</xdr:col>
      <xdr:colOff>152400</xdr:colOff>
      <xdr:row>63</xdr:row>
      <xdr:rowOff>76200</xdr:rowOff>
    </xdr:from>
    <xdr:to>
      <xdr:col>10</xdr:col>
      <xdr:colOff>0</xdr:colOff>
      <xdr:row>71</xdr:row>
      <xdr:rowOff>76200</xdr:rowOff>
    </xdr:to>
    <xdr:sp macro="" textlink="">
      <xdr:nvSpPr>
        <xdr:cNvPr id="56" name="Line 2036"/>
        <xdr:cNvSpPr>
          <a:spLocks noChangeShapeType="1"/>
        </xdr:cNvSpPr>
      </xdr:nvSpPr>
      <xdr:spPr bwMode="auto">
        <a:xfrm flipV="1">
          <a:off x="3200400" y="11487150"/>
          <a:ext cx="295275" cy="14478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152400</xdr:colOff>
      <xdr:row>25</xdr:row>
      <xdr:rowOff>152400</xdr:rowOff>
    </xdr:to>
    <xdr:sp macro="" textlink="">
      <xdr:nvSpPr>
        <xdr:cNvPr id="57" name="Circle Oval"/>
        <xdr:cNvSpPr/>
      </xdr:nvSpPr>
      <xdr:spPr>
        <a:xfrm>
          <a:off x="3048000" y="45339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25</xdr:row>
      <xdr:rowOff>76200</xdr:rowOff>
    </xdr:from>
    <xdr:to>
      <xdr:col>8</xdr:col>
      <xdr:colOff>0</xdr:colOff>
      <xdr:row>25</xdr:row>
      <xdr:rowOff>76200</xdr:rowOff>
    </xdr:to>
    <xdr:sp macro="" textlink="">
      <xdr:nvSpPr>
        <xdr:cNvPr id="58" name="Line 2037"/>
        <xdr:cNvSpPr>
          <a:spLocks noChangeShapeType="1"/>
        </xdr:cNvSpPr>
      </xdr:nvSpPr>
      <xdr:spPr bwMode="auto">
        <a:xfrm>
          <a:off x="1314450" y="4610100"/>
          <a:ext cx="173355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</xdr:col>
      <xdr:colOff>152400</xdr:colOff>
      <xdr:row>25</xdr:row>
      <xdr:rowOff>76200</xdr:rowOff>
    </xdr:from>
    <xdr:to>
      <xdr:col>4</xdr:col>
      <xdr:colOff>0</xdr:colOff>
      <xdr:row>48</xdr:row>
      <xdr:rowOff>76200</xdr:rowOff>
    </xdr:to>
    <xdr:sp macro="" textlink="">
      <xdr:nvSpPr>
        <xdr:cNvPr id="59" name="Line 2038"/>
        <xdr:cNvSpPr>
          <a:spLocks noChangeShapeType="1"/>
        </xdr:cNvSpPr>
      </xdr:nvSpPr>
      <xdr:spPr bwMode="auto">
        <a:xfrm flipV="1">
          <a:off x="1019175" y="4610100"/>
          <a:ext cx="295275" cy="41624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22</xdr:row>
      <xdr:rowOff>0</xdr:rowOff>
    </xdr:from>
    <xdr:to>
      <xdr:col>25</xdr:col>
      <xdr:colOff>152400</xdr:colOff>
      <xdr:row>22</xdr:row>
      <xdr:rowOff>152400</xdr:rowOff>
    </xdr:to>
    <xdr:sp macro="" textlink="">
      <xdr:nvSpPr>
        <xdr:cNvPr id="60" name="Triangle Triangle"/>
        <xdr:cNvSpPr/>
      </xdr:nvSpPr>
      <xdr:spPr>
        <a:xfrm rot="16200000">
          <a:off x="9553575" y="39909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22</xdr:row>
      <xdr:rowOff>76200</xdr:rowOff>
    </xdr:from>
    <xdr:to>
      <xdr:col>29</xdr:col>
      <xdr:colOff>0</xdr:colOff>
      <xdr:row>22</xdr:row>
      <xdr:rowOff>76200</xdr:rowOff>
    </xdr:to>
    <xdr:sp macro="" textlink="">
      <xdr:nvSpPr>
        <xdr:cNvPr id="61" name="Line 2039"/>
        <xdr:cNvSpPr>
          <a:spLocks noChangeShapeType="1"/>
        </xdr:cNvSpPr>
      </xdr:nvSpPr>
      <xdr:spPr bwMode="auto">
        <a:xfrm>
          <a:off x="9705975" y="406717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22</xdr:row>
      <xdr:rowOff>76200</xdr:rowOff>
    </xdr:from>
    <xdr:to>
      <xdr:col>25</xdr:col>
      <xdr:colOff>0</xdr:colOff>
      <xdr:row>22</xdr:row>
      <xdr:rowOff>76200</xdr:rowOff>
    </xdr:to>
    <xdr:sp macro="" textlink="">
      <xdr:nvSpPr>
        <xdr:cNvPr id="62" name="Line 2040"/>
        <xdr:cNvSpPr>
          <a:spLocks noChangeShapeType="1"/>
        </xdr:cNvSpPr>
      </xdr:nvSpPr>
      <xdr:spPr bwMode="auto">
        <a:xfrm>
          <a:off x="7839075" y="40671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19</xdr:row>
      <xdr:rowOff>76200</xdr:rowOff>
    </xdr:from>
    <xdr:to>
      <xdr:col>22</xdr:col>
      <xdr:colOff>0</xdr:colOff>
      <xdr:row>22</xdr:row>
      <xdr:rowOff>76200</xdr:rowOff>
    </xdr:to>
    <xdr:sp macro="" textlink="">
      <xdr:nvSpPr>
        <xdr:cNvPr id="63" name="Line 2041"/>
        <xdr:cNvSpPr>
          <a:spLocks noChangeShapeType="1"/>
        </xdr:cNvSpPr>
      </xdr:nvSpPr>
      <xdr:spPr bwMode="auto">
        <a:xfrm>
          <a:off x="7543800" y="3524250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152400</xdr:colOff>
      <xdr:row>8</xdr:row>
      <xdr:rowOff>152400</xdr:rowOff>
    </xdr:to>
    <xdr:sp macro="" textlink="">
      <xdr:nvSpPr>
        <xdr:cNvPr id="64" name="Circle Oval"/>
        <xdr:cNvSpPr/>
      </xdr:nvSpPr>
      <xdr:spPr>
        <a:xfrm>
          <a:off x="7391400" y="14573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8</xdr:row>
      <xdr:rowOff>76200</xdr:rowOff>
    </xdr:from>
    <xdr:to>
      <xdr:col>20</xdr:col>
      <xdr:colOff>0</xdr:colOff>
      <xdr:row>8</xdr:row>
      <xdr:rowOff>76200</xdr:rowOff>
    </xdr:to>
    <xdr:sp macro="" textlink="">
      <xdr:nvSpPr>
        <xdr:cNvPr id="65" name="Line 2042"/>
        <xdr:cNvSpPr>
          <a:spLocks noChangeShapeType="1"/>
        </xdr:cNvSpPr>
      </xdr:nvSpPr>
      <xdr:spPr bwMode="auto">
        <a:xfrm>
          <a:off x="5676900" y="15335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8</xdr:row>
      <xdr:rowOff>76200</xdr:rowOff>
    </xdr:from>
    <xdr:to>
      <xdr:col>16</xdr:col>
      <xdr:colOff>0</xdr:colOff>
      <xdr:row>13</xdr:row>
      <xdr:rowOff>76200</xdr:rowOff>
    </xdr:to>
    <xdr:sp macro="" textlink="">
      <xdr:nvSpPr>
        <xdr:cNvPr id="66" name="Line 2043"/>
        <xdr:cNvSpPr>
          <a:spLocks noChangeShapeType="1"/>
        </xdr:cNvSpPr>
      </xdr:nvSpPr>
      <xdr:spPr bwMode="auto">
        <a:xfrm flipV="1">
          <a:off x="5381625" y="1533525"/>
          <a:ext cx="295275" cy="9048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29</xdr:col>
      <xdr:colOff>0</xdr:colOff>
      <xdr:row>57</xdr:row>
      <xdr:rowOff>0</xdr:rowOff>
    </xdr:from>
    <xdr:to>
      <xdr:col>29</xdr:col>
      <xdr:colOff>152400</xdr:colOff>
      <xdr:row>57</xdr:row>
      <xdr:rowOff>152400</xdr:rowOff>
    </xdr:to>
    <xdr:sp macro="" textlink="">
      <xdr:nvSpPr>
        <xdr:cNvPr id="67" name="Triangle Triangle"/>
        <xdr:cNvSpPr/>
      </xdr:nvSpPr>
      <xdr:spPr>
        <a:xfrm rot="16200000">
          <a:off x="11715750" y="103251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27</xdr:col>
      <xdr:colOff>0</xdr:colOff>
      <xdr:row>57</xdr:row>
      <xdr:rowOff>76200</xdr:rowOff>
    </xdr:from>
    <xdr:to>
      <xdr:col>29</xdr:col>
      <xdr:colOff>0</xdr:colOff>
      <xdr:row>57</xdr:row>
      <xdr:rowOff>76200</xdr:rowOff>
    </xdr:to>
    <xdr:sp macro="" textlink="">
      <xdr:nvSpPr>
        <xdr:cNvPr id="68" name="Line 2044"/>
        <xdr:cNvSpPr>
          <a:spLocks noChangeShapeType="1"/>
        </xdr:cNvSpPr>
      </xdr:nvSpPr>
      <xdr:spPr bwMode="auto">
        <a:xfrm>
          <a:off x="10001250" y="104013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25</xdr:col>
      <xdr:colOff>152400</xdr:colOff>
      <xdr:row>54</xdr:row>
      <xdr:rowOff>76200</xdr:rowOff>
    </xdr:from>
    <xdr:to>
      <xdr:col>27</xdr:col>
      <xdr:colOff>0</xdr:colOff>
      <xdr:row>57</xdr:row>
      <xdr:rowOff>76200</xdr:rowOff>
    </xdr:to>
    <xdr:sp macro="" textlink="">
      <xdr:nvSpPr>
        <xdr:cNvPr id="69" name="Line 2045"/>
        <xdr:cNvSpPr>
          <a:spLocks noChangeShapeType="1"/>
        </xdr:cNvSpPr>
      </xdr:nvSpPr>
      <xdr:spPr bwMode="auto">
        <a:xfrm>
          <a:off x="9705975" y="9858375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14</xdr:col>
      <xdr:colOff>0</xdr:colOff>
      <xdr:row>13</xdr:row>
      <xdr:rowOff>0</xdr:rowOff>
    </xdr:from>
    <xdr:to>
      <xdr:col>14</xdr:col>
      <xdr:colOff>152400</xdr:colOff>
      <xdr:row>13</xdr:row>
      <xdr:rowOff>152400</xdr:rowOff>
    </xdr:to>
    <xdr:sp macro="" textlink="">
      <xdr:nvSpPr>
        <xdr:cNvPr id="70" name="Square Rectangle"/>
        <xdr:cNvSpPr/>
      </xdr:nvSpPr>
      <xdr:spPr>
        <a:xfrm>
          <a:off x="5229225" y="2362200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0</xdr:colOff>
      <xdr:row>13</xdr:row>
      <xdr:rowOff>76200</xdr:rowOff>
    </xdr:from>
    <xdr:to>
      <xdr:col>14</xdr:col>
      <xdr:colOff>0</xdr:colOff>
      <xdr:row>13</xdr:row>
      <xdr:rowOff>76200</xdr:rowOff>
    </xdr:to>
    <xdr:sp macro="" textlink="">
      <xdr:nvSpPr>
        <xdr:cNvPr id="71" name="Line 2046"/>
        <xdr:cNvSpPr>
          <a:spLocks noChangeShapeType="1"/>
        </xdr:cNvSpPr>
      </xdr:nvSpPr>
      <xdr:spPr bwMode="auto">
        <a:xfrm>
          <a:off x="3495675" y="2438400"/>
          <a:ext cx="173355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8</xdr:col>
      <xdr:colOff>152400</xdr:colOff>
      <xdr:row>13</xdr:row>
      <xdr:rowOff>76200</xdr:rowOff>
    </xdr:from>
    <xdr:to>
      <xdr:col>10</xdr:col>
      <xdr:colOff>0</xdr:colOff>
      <xdr:row>25</xdr:row>
      <xdr:rowOff>76200</xdr:rowOff>
    </xdr:to>
    <xdr:sp macro="" textlink="">
      <xdr:nvSpPr>
        <xdr:cNvPr id="72" name="Line 2047"/>
        <xdr:cNvSpPr>
          <a:spLocks noChangeShapeType="1"/>
        </xdr:cNvSpPr>
      </xdr:nvSpPr>
      <xdr:spPr bwMode="auto">
        <a:xfrm flipV="1">
          <a:off x="3200400" y="2438400"/>
          <a:ext cx="295275" cy="21717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19</xdr:row>
      <xdr:rowOff>0</xdr:rowOff>
    </xdr:from>
    <xdr:to>
      <xdr:col>20</xdr:col>
      <xdr:colOff>152400</xdr:colOff>
      <xdr:row>19</xdr:row>
      <xdr:rowOff>152400</xdr:rowOff>
    </xdr:to>
    <xdr:sp macro="" textlink="">
      <xdr:nvSpPr>
        <xdr:cNvPr id="73" name="Circle Oval"/>
        <xdr:cNvSpPr/>
      </xdr:nvSpPr>
      <xdr:spPr>
        <a:xfrm>
          <a:off x="7391400" y="34480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19</xdr:row>
      <xdr:rowOff>76200</xdr:rowOff>
    </xdr:from>
    <xdr:to>
      <xdr:col>20</xdr:col>
      <xdr:colOff>0</xdr:colOff>
      <xdr:row>19</xdr:row>
      <xdr:rowOff>76200</xdr:rowOff>
    </xdr:to>
    <xdr:sp macro="" textlink="">
      <xdr:nvSpPr>
        <xdr:cNvPr id="74" name="Line 2048"/>
        <xdr:cNvSpPr>
          <a:spLocks noChangeShapeType="1"/>
        </xdr:cNvSpPr>
      </xdr:nvSpPr>
      <xdr:spPr bwMode="auto">
        <a:xfrm>
          <a:off x="5676900" y="35242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13</xdr:row>
      <xdr:rowOff>76200</xdr:rowOff>
    </xdr:from>
    <xdr:to>
      <xdr:col>16</xdr:col>
      <xdr:colOff>0</xdr:colOff>
      <xdr:row>19</xdr:row>
      <xdr:rowOff>76200</xdr:rowOff>
    </xdr:to>
    <xdr:sp macro="" textlink="">
      <xdr:nvSpPr>
        <xdr:cNvPr id="75" name="Line 2049"/>
        <xdr:cNvSpPr>
          <a:spLocks noChangeShapeType="1"/>
        </xdr:cNvSpPr>
      </xdr:nvSpPr>
      <xdr:spPr bwMode="auto">
        <a:xfrm>
          <a:off x="5381625" y="2438400"/>
          <a:ext cx="295275" cy="10858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29</xdr:col>
      <xdr:colOff>0</xdr:colOff>
      <xdr:row>52</xdr:row>
      <xdr:rowOff>0</xdr:rowOff>
    </xdr:from>
    <xdr:to>
      <xdr:col>29</xdr:col>
      <xdr:colOff>152400</xdr:colOff>
      <xdr:row>52</xdr:row>
      <xdr:rowOff>152400</xdr:rowOff>
    </xdr:to>
    <xdr:sp macro="" textlink="">
      <xdr:nvSpPr>
        <xdr:cNvPr id="76" name="Triangle Triangle"/>
        <xdr:cNvSpPr/>
      </xdr:nvSpPr>
      <xdr:spPr>
        <a:xfrm rot="16200000">
          <a:off x="11715750" y="94202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27</xdr:col>
      <xdr:colOff>0</xdr:colOff>
      <xdr:row>52</xdr:row>
      <xdr:rowOff>76200</xdr:rowOff>
    </xdr:from>
    <xdr:to>
      <xdr:col>29</xdr:col>
      <xdr:colOff>0</xdr:colOff>
      <xdr:row>52</xdr:row>
      <xdr:rowOff>76200</xdr:rowOff>
    </xdr:to>
    <xdr:sp macro="" textlink="">
      <xdr:nvSpPr>
        <xdr:cNvPr id="77" name="Line 2050"/>
        <xdr:cNvSpPr>
          <a:spLocks noChangeShapeType="1"/>
        </xdr:cNvSpPr>
      </xdr:nvSpPr>
      <xdr:spPr bwMode="auto">
        <a:xfrm>
          <a:off x="10001250" y="94964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25</xdr:col>
      <xdr:colOff>152400</xdr:colOff>
      <xdr:row>52</xdr:row>
      <xdr:rowOff>76200</xdr:rowOff>
    </xdr:from>
    <xdr:to>
      <xdr:col>27</xdr:col>
      <xdr:colOff>0</xdr:colOff>
      <xdr:row>54</xdr:row>
      <xdr:rowOff>76200</xdr:rowOff>
    </xdr:to>
    <xdr:sp macro="" textlink="">
      <xdr:nvSpPr>
        <xdr:cNvPr id="78" name="Line 2051"/>
        <xdr:cNvSpPr>
          <a:spLocks noChangeShapeType="1"/>
        </xdr:cNvSpPr>
      </xdr:nvSpPr>
      <xdr:spPr bwMode="auto">
        <a:xfrm flipV="1">
          <a:off x="9705975" y="9496425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14</xdr:col>
      <xdr:colOff>0</xdr:colOff>
      <xdr:row>38</xdr:row>
      <xdr:rowOff>0</xdr:rowOff>
    </xdr:from>
    <xdr:to>
      <xdr:col>14</xdr:col>
      <xdr:colOff>152400</xdr:colOff>
      <xdr:row>38</xdr:row>
      <xdr:rowOff>152400</xdr:rowOff>
    </xdr:to>
    <xdr:sp macro="" textlink="">
      <xdr:nvSpPr>
        <xdr:cNvPr id="79" name="Square Rectangle"/>
        <xdr:cNvSpPr/>
      </xdr:nvSpPr>
      <xdr:spPr>
        <a:xfrm>
          <a:off x="5229225" y="6886575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0</xdr:colOff>
      <xdr:row>38</xdr:row>
      <xdr:rowOff>76200</xdr:rowOff>
    </xdr:from>
    <xdr:to>
      <xdr:col>14</xdr:col>
      <xdr:colOff>0</xdr:colOff>
      <xdr:row>38</xdr:row>
      <xdr:rowOff>76200</xdr:rowOff>
    </xdr:to>
    <xdr:sp macro="" textlink="">
      <xdr:nvSpPr>
        <xdr:cNvPr id="80" name="Line 2052"/>
        <xdr:cNvSpPr>
          <a:spLocks noChangeShapeType="1"/>
        </xdr:cNvSpPr>
      </xdr:nvSpPr>
      <xdr:spPr bwMode="auto">
        <a:xfrm>
          <a:off x="3495675" y="6962775"/>
          <a:ext cx="173355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8</xdr:col>
      <xdr:colOff>152400</xdr:colOff>
      <xdr:row>25</xdr:row>
      <xdr:rowOff>76200</xdr:rowOff>
    </xdr:from>
    <xdr:to>
      <xdr:col>10</xdr:col>
      <xdr:colOff>0</xdr:colOff>
      <xdr:row>38</xdr:row>
      <xdr:rowOff>76200</xdr:rowOff>
    </xdr:to>
    <xdr:sp macro="" textlink="">
      <xdr:nvSpPr>
        <xdr:cNvPr id="81" name="Line 2053"/>
        <xdr:cNvSpPr>
          <a:spLocks noChangeShapeType="1"/>
        </xdr:cNvSpPr>
      </xdr:nvSpPr>
      <xdr:spPr bwMode="auto">
        <a:xfrm>
          <a:off x="3200400" y="4610100"/>
          <a:ext cx="295275" cy="23526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29</xdr:col>
      <xdr:colOff>0</xdr:colOff>
      <xdr:row>32</xdr:row>
      <xdr:rowOff>0</xdr:rowOff>
    </xdr:from>
    <xdr:to>
      <xdr:col>29</xdr:col>
      <xdr:colOff>152400</xdr:colOff>
      <xdr:row>32</xdr:row>
      <xdr:rowOff>152400</xdr:rowOff>
    </xdr:to>
    <xdr:sp macro="" textlink="">
      <xdr:nvSpPr>
        <xdr:cNvPr id="82" name="Triangle Triangle"/>
        <xdr:cNvSpPr/>
      </xdr:nvSpPr>
      <xdr:spPr>
        <a:xfrm rot="16200000">
          <a:off x="11715750" y="58007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27</xdr:col>
      <xdr:colOff>0</xdr:colOff>
      <xdr:row>32</xdr:row>
      <xdr:rowOff>76200</xdr:rowOff>
    </xdr:from>
    <xdr:to>
      <xdr:col>29</xdr:col>
      <xdr:colOff>0</xdr:colOff>
      <xdr:row>32</xdr:row>
      <xdr:rowOff>76200</xdr:rowOff>
    </xdr:to>
    <xdr:sp macro="" textlink="">
      <xdr:nvSpPr>
        <xdr:cNvPr id="83" name="Line 2054"/>
        <xdr:cNvSpPr>
          <a:spLocks noChangeShapeType="1"/>
        </xdr:cNvSpPr>
      </xdr:nvSpPr>
      <xdr:spPr bwMode="auto">
        <a:xfrm>
          <a:off x="10001250" y="58769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25</xdr:col>
      <xdr:colOff>152400</xdr:colOff>
      <xdr:row>29</xdr:row>
      <xdr:rowOff>76200</xdr:rowOff>
    </xdr:from>
    <xdr:to>
      <xdr:col>27</xdr:col>
      <xdr:colOff>0</xdr:colOff>
      <xdr:row>32</xdr:row>
      <xdr:rowOff>76200</xdr:rowOff>
    </xdr:to>
    <xdr:sp macro="" textlink="">
      <xdr:nvSpPr>
        <xdr:cNvPr id="84" name="Line 2055"/>
        <xdr:cNvSpPr>
          <a:spLocks noChangeShapeType="1"/>
        </xdr:cNvSpPr>
      </xdr:nvSpPr>
      <xdr:spPr bwMode="auto">
        <a:xfrm>
          <a:off x="9705975" y="5334000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29</xdr:col>
      <xdr:colOff>0</xdr:colOff>
      <xdr:row>27</xdr:row>
      <xdr:rowOff>0</xdr:rowOff>
    </xdr:from>
    <xdr:to>
      <xdr:col>29</xdr:col>
      <xdr:colOff>152400</xdr:colOff>
      <xdr:row>27</xdr:row>
      <xdr:rowOff>152400</xdr:rowOff>
    </xdr:to>
    <xdr:sp macro="" textlink="">
      <xdr:nvSpPr>
        <xdr:cNvPr id="85" name="Triangle Triangle"/>
        <xdr:cNvSpPr/>
      </xdr:nvSpPr>
      <xdr:spPr>
        <a:xfrm rot="16200000">
          <a:off x="11715750" y="48958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27</xdr:col>
      <xdr:colOff>0</xdr:colOff>
      <xdr:row>27</xdr:row>
      <xdr:rowOff>76200</xdr:rowOff>
    </xdr:from>
    <xdr:to>
      <xdr:col>29</xdr:col>
      <xdr:colOff>0</xdr:colOff>
      <xdr:row>27</xdr:row>
      <xdr:rowOff>76200</xdr:rowOff>
    </xdr:to>
    <xdr:sp macro="" textlink="">
      <xdr:nvSpPr>
        <xdr:cNvPr id="86" name="Line 2056"/>
        <xdr:cNvSpPr>
          <a:spLocks noChangeShapeType="1"/>
        </xdr:cNvSpPr>
      </xdr:nvSpPr>
      <xdr:spPr bwMode="auto">
        <a:xfrm>
          <a:off x="10001250" y="49720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25</xdr:col>
      <xdr:colOff>152400</xdr:colOff>
      <xdr:row>27</xdr:row>
      <xdr:rowOff>76200</xdr:rowOff>
    </xdr:from>
    <xdr:to>
      <xdr:col>27</xdr:col>
      <xdr:colOff>0</xdr:colOff>
      <xdr:row>29</xdr:row>
      <xdr:rowOff>76200</xdr:rowOff>
    </xdr:to>
    <xdr:sp macro="" textlink="">
      <xdr:nvSpPr>
        <xdr:cNvPr id="87" name="Line 2057"/>
        <xdr:cNvSpPr>
          <a:spLocks noChangeShapeType="1"/>
        </xdr:cNvSpPr>
      </xdr:nvSpPr>
      <xdr:spPr bwMode="auto">
        <a:xfrm flipV="1">
          <a:off x="9705975" y="497205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42</xdr:row>
      <xdr:rowOff>0</xdr:rowOff>
    </xdr:from>
    <xdr:to>
      <xdr:col>25</xdr:col>
      <xdr:colOff>152400</xdr:colOff>
      <xdr:row>42</xdr:row>
      <xdr:rowOff>152400</xdr:rowOff>
    </xdr:to>
    <xdr:sp macro="" textlink="">
      <xdr:nvSpPr>
        <xdr:cNvPr id="88" name="Triangle Triangle"/>
        <xdr:cNvSpPr/>
      </xdr:nvSpPr>
      <xdr:spPr>
        <a:xfrm rot="16200000">
          <a:off x="9553575" y="76104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42</xdr:row>
      <xdr:rowOff>76200</xdr:rowOff>
    </xdr:from>
    <xdr:to>
      <xdr:col>29</xdr:col>
      <xdr:colOff>0</xdr:colOff>
      <xdr:row>42</xdr:row>
      <xdr:rowOff>76200</xdr:rowOff>
    </xdr:to>
    <xdr:sp macro="" textlink="">
      <xdr:nvSpPr>
        <xdr:cNvPr id="89" name="Line 2058"/>
        <xdr:cNvSpPr>
          <a:spLocks noChangeShapeType="1"/>
        </xdr:cNvSpPr>
      </xdr:nvSpPr>
      <xdr:spPr bwMode="auto">
        <a:xfrm>
          <a:off x="9753600" y="768667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42</xdr:row>
      <xdr:rowOff>76200</xdr:rowOff>
    </xdr:from>
    <xdr:to>
      <xdr:col>25</xdr:col>
      <xdr:colOff>0</xdr:colOff>
      <xdr:row>42</xdr:row>
      <xdr:rowOff>76200</xdr:rowOff>
    </xdr:to>
    <xdr:sp macro="" textlink="">
      <xdr:nvSpPr>
        <xdr:cNvPr id="90" name="Line 2059"/>
        <xdr:cNvSpPr>
          <a:spLocks noChangeShapeType="1"/>
        </xdr:cNvSpPr>
      </xdr:nvSpPr>
      <xdr:spPr bwMode="auto">
        <a:xfrm>
          <a:off x="7839075" y="76866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42</xdr:row>
      <xdr:rowOff>76200</xdr:rowOff>
    </xdr:from>
    <xdr:to>
      <xdr:col>22</xdr:col>
      <xdr:colOff>0</xdr:colOff>
      <xdr:row>44</xdr:row>
      <xdr:rowOff>76200</xdr:rowOff>
    </xdr:to>
    <xdr:sp macro="" textlink="">
      <xdr:nvSpPr>
        <xdr:cNvPr id="91" name="Line 2060"/>
        <xdr:cNvSpPr>
          <a:spLocks noChangeShapeType="1"/>
        </xdr:cNvSpPr>
      </xdr:nvSpPr>
      <xdr:spPr bwMode="auto">
        <a:xfrm flipV="1">
          <a:off x="7543800" y="7686675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37</xdr:row>
      <xdr:rowOff>0</xdr:rowOff>
    </xdr:from>
    <xdr:to>
      <xdr:col>25</xdr:col>
      <xdr:colOff>152400</xdr:colOff>
      <xdr:row>37</xdr:row>
      <xdr:rowOff>152400</xdr:rowOff>
    </xdr:to>
    <xdr:sp macro="" textlink="">
      <xdr:nvSpPr>
        <xdr:cNvPr id="92" name="Triangle Triangle"/>
        <xdr:cNvSpPr/>
      </xdr:nvSpPr>
      <xdr:spPr>
        <a:xfrm rot="16200000">
          <a:off x="9553575" y="67056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37</xdr:row>
      <xdr:rowOff>76200</xdr:rowOff>
    </xdr:from>
    <xdr:to>
      <xdr:col>29</xdr:col>
      <xdr:colOff>0</xdr:colOff>
      <xdr:row>37</xdr:row>
      <xdr:rowOff>76200</xdr:rowOff>
    </xdr:to>
    <xdr:sp macro="" textlink="">
      <xdr:nvSpPr>
        <xdr:cNvPr id="93" name="Line 2061"/>
        <xdr:cNvSpPr>
          <a:spLocks noChangeShapeType="1"/>
        </xdr:cNvSpPr>
      </xdr:nvSpPr>
      <xdr:spPr bwMode="auto">
        <a:xfrm>
          <a:off x="9705975" y="678180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37</xdr:row>
      <xdr:rowOff>76200</xdr:rowOff>
    </xdr:from>
    <xdr:to>
      <xdr:col>25</xdr:col>
      <xdr:colOff>0</xdr:colOff>
      <xdr:row>37</xdr:row>
      <xdr:rowOff>76200</xdr:rowOff>
    </xdr:to>
    <xdr:sp macro="" textlink="">
      <xdr:nvSpPr>
        <xdr:cNvPr id="94" name="Line 2062"/>
        <xdr:cNvSpPr>
          <a:spLocks noChangeShapeType="1"/>
        </xdr:cNvSpPr>
      </xdr:nvSpPr>
      <xdr:spPr bwMode="auto">
        <a:xfrm>
          <a:off x="7839075" y="67818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33</xdr:row>
      <xdr:rowOff>76200</xdr:rowOff>
    </xdr:from>
    <xdr:to>
      <xdr:col>22</xdr:col>
      <xdr:colOff>0</xdr:colOff>
      <xdr:row>37</xdr:row>
      <xdr:rowOff>76200</xdr:rowOff>
    </xdr:to>
    <xdr:sp macro="" textlink="">
      <xdr:nvSpPr>
        <xdr:cNvPr id="95" name="Line 2063"/>
        <xdr:cNvSpPr>
          <a:spLocks noChangeShapeType="1"/>
        </xdr:cNvSpPr>
      </xdr:nvSpPr>
      <xdr:spPr bwMode="auto">
        <a:xfrm>
          <a:off x="7543800" y="6057900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29</xdr:row>
      <xdr:rowOff>0</xdr:rowOff>
    </xdr:from>
    <xdr:to>
      <xdr:col>25</xdr:col>
      <xdr:colOff>152400</xdr:colOff>
      <xdr:row>29</xdr:row>
      <xdr:rowOff>152400</xdr:rowOff>
    </xdr:to>
    <xdr:sp macro="" textlink="">
      <xdr:nvSpPr>
        <xdr:cNvPr id="96" name="Circle Oval"/>
        <xdr:cNvSpPr/>
      </xdr:nvSpPr>
      <xdr:spPr>
        <a:xfrm>
          <a:off x="9553575" y="52578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22</xdr:col>
      <xdr:colOff>0</xdr:colOff>
      <xdr:row>29</xdr:row>
      <xdr:rowOff>76200</xdr:rowOff>
    </xdr:from>
    <xdr:to>
      <xdr:col>25</xdr:col>
      <xdr:colOff>0</xdr:colOff>
      <xdr:row>29</xdr:row>
      <xdr:rowOff>76200</xdr:rowOff>
    </xdr:to>
    <xdr:sp macro="" textlink="">
      <xdr:nvSpPr>
        <xdr:cNvPr id="97" name="Line 2064"/>
        <xdr:cNvSpPr>
          <a:spLocks noChangeShapeType="1"/>
        </xdr:cNvSpPr>
      </xdr:nvSpPr>
      <xdr:spPr bwMode="auto">
        <a:xfrm>
          <a:off x="7839075" y="53340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29</xdr:row>
      <xdr:rowOff>76200</xdr:rowOff>
    </xdr:from>
    <xdr:to>
      <xdr:col>22</xdr:col>
      <xdr:colOff>0</xdr:colOff>
      <xdr:row>33</xdr:row>
      <xdr:rowOff>76200</xdr:rowOff>
    </xdr:to>
    <xdr:sp macro="" textlink="">
      <xdr:nvSpPr>
        <xdr:cNvPr id="98" name="Line 2065"/>
        <xdr:cNvSpPr>
          <a:spLocks noChangeShapeType="1"/>
        </xdr:cNvSpPr>
      </xdr:nvSpPr>
      <xdr:spPr bwMode="auto">
        <a:xfrm flipV="1">
          <a:off x="7543800" y="5334000"/>
          <a:ext cx="295275" cy="723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47</xdr:row>
      <xdr:rowOff>0</xdr:rowOff>
    </xdr:from>
    <xdr:to>
      <xdr:col>25</xdr:col>
      <xdr:colOff>152400</xdr:colOff>
      <xdr:row>47</xdr:row>
      <xdr:rowOff>152400</xdr:rowOff>
    </xdr:to>
    <xdr:sp macro="" textlink="">
      <xdr:nvSpPr>
        <xdr:cNvPr id="99" name="Triangle Triangle"/>
        <xdr:cNvSpPr/>
      </xdr:nvSpPr>
      <xdr:spPr>
        <a:xfrm rot="16200000">
          <a:off x="9553575" y="85153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47</xdr:row>
      <xdr:rowOff>76200</xdr:rowOff>
    </xdr:from>
    <xdr:to>
      <xdr:col>29</xdr:col>
      <xdr:colOff>0</xdr:colOff>
      <xdr:row>47</xdr:row>
      <xdr:rowOff>76200</xdr:rowOff>
    </xdr:to>
    <xdr:sp macro="" textlink="">
      <xdr:nvSpPr>
        <xdr:cNvPr id="100" name="Line 2066"/>
        <xdr:cNvSpPr>
          <a:spLocks noChangeShapeType="1"/>
        </xdr:cNvSpPr>
      </xdr:nvSpPr>
      <xdr:spPr bwMode="auto">
        <a:xfrm>
          <a:off x="9705975" y="859155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47</xdr:row>
      <xdr:rowOff>76200</xdr:rowOff>
    </xdr:from>
    <xdr:to>
      <xdr:col>25</xdr:col>
      <xdr:colOff>0</xdr:colOff>
      <xdr:row>47</xdr:row>
      <xdr:rowOff>76200</xdr:rowOff>
    </xdr:to>
    <xdr:sp macro="" textlink="">
      <xdr:nvSpPr>
        <xdr:cNvPr id="101" name="Line 2067"/>
        <xdr:cNvSpPr>
          <a:spLocks noChangeShapeType="1"/>
        </xdr:cNvSpPr>
      </xdr:nvSpPr>
      <xdr:spPr bwMode="auto">
        <a:xfrm>
          <a:off x="7839075" y="859155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44</xdr:row>
      <xdr:rowOff>76200</xdr:rowOff>
    </xdr:from>
    <xdr:to>
      <xdr:col>22</xdr:col>
      <xdr:colOff>0</xdr:colOff>
      <xdr:row>47</xdr:row>
      <xdr:rowOff>76200</xdr:rowOff>
    </xdr:to>
    <xdr:sp macro="" textlink="">
      <xdr:nvSpPr>
        <xdr:cNvPr id="102" name="Line 2068"/>
        <xdr:cNvSpPr>
          <a:spLocks noChangeShapeType="1"/>
        </xdr:cNvSpPr>
      </xdr:nvSpPr>
      <xdr:spPr bwMode="auto">
        <a:xfrm>
          <a:off x="7543800" y="8048625"/>
          <a:ext cx="295275" cy="5429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33</xdr:row>
      <xdr:rowOff>0</xdr:rowOff>
    </xdr:from>
    <xdr:to>
      <xdr:col>20</xdr:col>
      <xdr:colOff>152400</xdr:colOff>
      <xdr:row>33</xdr:row>
      <xdr:rowOff>152400</xdr:rowOff>
    </xdr:to>
    <xdr:sp macro="" textlink="">
      <xdr:nvSpPr>
        <xdr:cNvPr id="103" name="Circle Oval"/>
        <xdr:cNvSpPr/>
      </xdr:nvSpPr>
      <xdr:spPr>
        <a:xfrm>
          <a:off x="7391400" y="59817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33</xdr:row>
      <xdr:rowOff>76200</xdr:rowOff>
    </xdr:from>
    <xdr:to>
      <xdr:col>20</xdr:col>
      <xdr:colOff>0</xdr:colOff>
      <xdr:row>33</xdr:row>
      <xdr:rowOff>76200</xdr:rowOff>
    </xdr:to>
    <xdr:sp macro="" textlink="">
      <xdr:nvSpPr>
        <xdr:cNvPr id="104" name="Line 2069"/>
        <xdr:cNvSpPr>
          <a:spLocks noChangeShapeType="1"/>
        </xdr:cNvSpPr>
      </xdr:nvSpPr>
      <xdr:spPr bwMode="auto">
        <a:xfrm>
          <a:off x="5676900" y="60579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33</xdr:row>
      <xdr:rowOff>76200</xdr:rowOff>
    </xdr:from>
    <xdr:to>
      <xdr:col>16</xdr:col>
      <xdr:colOff>0</xdr:colOff>
      <xdr:row>38</xdr:row>
      <xdr:rowOff>76200</xdr:rowOff>
    </xdr:to>
    <xdr:sp macro="" textlink="">
      <xdr:nvSpPr>
        <xdr:cNvPr id="105" name="Line 2070"/>
        <xdr:cNvSpPr>
          <a:spLocks noChangeShapeType="1"/>
        </xdr:cNvSpPr>
      </xdr:nvSpPr>
      <xdr:spPr bwMode="auto">
        <a:xfrm flipV="1">
          <a:off x="5381625" y="6057900"/>
          <a:ext cx="295275" cy="9048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44</xdr:row>
      <xdr:rowOff>0</xdr:rowOff>
    </xdr:from>
    <xdr:to>
      <xdr:col>20</xdr:col>
      <xdr:colOff>152400</xdr:colOff>
      <xdr:row>44</xdr:row>
      <xdr:rowOff>152400</xdr:rowOff>
    </xdr:to>
    <xdr:sp macro="" textlink="">
      <xdr:nvSpPr>
        <xdr:cNvPr id="106" name="Circle Oval"/>
        <xdr:cNvSpPr/>
      </xdr:nvSpPr>
      <xdr:spPr>
        <a:xfrm>
          <a:off x="7391400" y="79724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44</xdr:row>
      <xdr:rowOff>76200</xdr:rowOff>
    </xdr:from>
    <xdr:to>
      <xdr:col>20</xdr:col>
      <xdr:colOff>0</xdr:colOff>
      <xdr:row>44</xdr:row>
      <xdr:rowOff>76200</xdr:rowOff>
    </xdr:to>
    <xdr:sp macro="" textlink="">
      <xdr:nvSpPr>
        <xdr:cNvPr id="107" name="Line 2071"/>
        <xdr:cNvSpPr>
          <a:spLocks noChangeShapeType="1"/>
        </xdr:cNvSpPr>
      </xdr:nvSpPr>
      <xdr:spPr bwMode="auto">
        <a:xfrm>
          <a:off x="5676900" y="804862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38</xdr:row>
      <xdr:rowOff>76200</xdr:rowOff>
    </xdr:from>
    <xdr:to>
      <xdr:col>16</xdr:col>
      <xdr:colOff>0</xdr:colOff>
      <xdr:row>44</xdr:row>
      <xdr:rowOff>76200</xdr:rowOff>
    </xdr:to>
    <xdr:sp macro="" textlink="">
      <xdr:nvSpPr>
        <xdr:cNvPr id="108" name="Line 2072"/>
        <xdr:cNvSpPr>
          <a:spLocks noChangeShapeType="1"/>
        </xdr:cNvSpPr>
      </xdr:nvSpPr>
      <xdr:spPr bwMode="auto">
        <a:xfrm>
          <a:off x="5381625" y="6962775"/>
          <a:ext cx="295275" cy="10858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152400</xdr:colOff>
      <xdr:row>48</xdr:row>
      <xdr:rowOff>152400</xdr:rowOff>
    </xdr:to>
    <xdr:sp macro="" textlink="">
      <xdr:nvSpPr>
        <xdr:cNvPr id="109" name="Square Rectangle"/>
        <xdr:cNvSpPr/>
      </xdr:nvSpPr>
      <xdr:spPr>
        <a:xfrm>
          <a:off x="866775" y="8696325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231321</xdr:colOff>
      <xdr:row>48</xdr:row>
      <xdr:rowOff>76200</xdr:rowOff>
    </xdr:from>
    <xdr:to>
      <xdr:col>2</xdr:col>
      <xdr:colOff>0</xdr:colOff>
      <xdr:row>48</xdr:row>
      <xdr:rowOff>81642</xdr:rowOff>
    </xdr:to>
    <xdr:sp macro="" textlink="">
      <xdr:nvSpPr>
        <xdr:cNvPr id="110" name="Line 2073"/>
        <xdr:cNvSpPr>
          <a:spLocks noChangeShapeType="1"/>
        </xdr:cNvSpPr>
      </xdr:nvSpPr>
      <xdr:spPr bwMode="auto">
        <a:xfrm flipV="1">
          <a:off x="231321" y="8703129"/>
          <a:ext cx="1537608" cy="5442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0</xdr:colOff>
      <xdr:row>7</xdr:row>
      <xdr:rowOff>0</xdr:rowOff>
    </xdr:from>
    <xdr:to>
      <xdr:col>29</xdr:col>
      <xdr:colOff>152400</xdr:colOff>
      <xdr:row>7</xdr:row>
      <xdr:rowOff>152400</xdr:rowOff>
    </xdr:to>
    <xdr:sp macro="" textlink="">
      <xdr:nvSpPr>
        <xdr:cNvPr id="2" name="Triangle Triangle"/>
        <xdr:cNvSpPr/>
      </xdr:nvSpPr>
      <xdr:spPr>
        <a:xfrm rot="16200000">
          <a:off x="16792575" y="12858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27</xdr:col>
      <xdr:colOff>0</xdr:colOff>
      <xdr:row>7</xdr:row>
      <xdr:rowOff>76200</xdr:rowOff>
    </xdr:from>
    <xdr:to>
      <xdr:col>29</xdr:col>
      <xdr:colOff>0</xdr:colOff>
      <xdr:row>7</xdr:row>
      <xdr:rowOff>76200</xdr:rowOff>
    </xdr:to>
    <xdr:sp macro="" textlink="">
      <xdr:nvSpPr>
        <xdr:cNvPr id="3" name="Line 1998"/>
        <xdr:cNvSpPr>
          <a:spLocks noChangeShapeType="1"/>
        </xdr:cNvSpPr>
      </xdr:nvSpPr>
      <xdr:spPr bwMode="auto">
        <a:xfrm>
          <a:off x="15078075" y="13620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25</xdr:col>
      <xdr:colOff>152400</xdr:colOff>
      <xdr:row>4</xdr:row>
      <xdr:rowOff>76200</xdr:rowOff>
    </xdr:from>
    <xdr:to>
      <xdr:col>27</xdr:col>
      <xdr:colOff>0</xdr:colOff>
      <xdr:row>7</xdr:row>
      <xdr:rowOff>76200</xdr:rowOff>
    </xdr:to>
    <xdr:sp macro="" textlink="">
      <xdr:nvSpPr>
        <xdr:cNvPr id="4" name="Line 1999"/>
        <xdr:cNvSpPr>
          <a:spLocks noChangeShapeType="1"/>
        </xdr:cNvSpPr>
      </xdr:nvSpPr>
      <xdr:spPr bwMode="auto">
        <a:xfrm>
          <a:off x="14782800" y="809625"/>
          <a:ext cx="295275" cy="5524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29</xdr:col>
      <xdr:colOff>0</xdr:colOff>
      <xdr:row>2</xdr:row>
      <xdr:rowOff>0</xdr:rowOff>
    </xdr:from>
    <xdr:to>
      <xdr:col>29</xdr:col>
      <xdr:colOff>152400</xdr:colOff>
      <xdr:row>2</xdr:row>
      <xdr:rowOff>152400</xdr:rowOff>
    </xdr:to>
    <xdr:sp macro="" textlink="">
      <xdr:nvSpPr>
        <xdr:cNvPr id="5" name="Triangle Triangle"/>
        <xdr:cNvSpPr/>
      </xdr:nvSpPr>
      <xdr:spPr>
        <a:xfrm rot="16200000">
          <a:off x="16792575" y="3714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27</xdr:col>
      <xdr:colOff>0</xdr:colOff>
      <xdr:row>2</xdr:row>
      <xdr:rowOff>76200</xdr:rowOff>
    </xdr:from>
    <xdr:to>
      <xdr:col>29</xdr:col>
      <xdr:colOff>0</xdr:colOff>
      <xdr:row>2</xdr:row>
      <xdr:rowOff>76200</xdr:rowOff>
    </xdr:to>
    <xdr:sp macro="" textlink="">
      <xdr:nvSpPr>
        <xdr:cNvPr id="6" name="Line 2000"/>
        <xdr:cNvSpPr>
          <a:spLocks noChangeShapeType="1"/>
        </xdr:cNvSpPr>
      </xdr:nvSpPr>
      <xdr:spPr bwMode="auto">
        <a:xfrm>
          <a:off x="15078075" y="4476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25</xdr:col>
      <xdr:colOff>152400</xdr:colOff>
      <xdr:row>2</xdr:row>
      <xdr:rowOff>76200</xdr:rowOff>
    </xdr:from>
    <xdr:to>
      <xdr:col>27</xdr:col>
      <xdr:colOff>0</xdr:colOff>
      <xdr:row>4</xdr:row>
      <xdr:rowOff>76200</xdr:rowOff>
    </xdr:to>
    <xdr:sp macro="" textlink="">
      <xdr:nvSpPr>
        <xdr:cNvPr id="7" name="Line 2001"/>
        <xdr:cNvSpPr>
          <a:spLocks noChangeShapeType="1"/>
        </xdr:cNvSpPr>
      </xdr:nvSpPr>
      <xdr:spPr bwMode="auto">
        <a:xfrm flipV="1">
          <a:off x="14782800" y="447675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12</xdr:row>
      <xdr:rowOff>0</xdr:rowOff>
    </xdr:from>
    <xdr:to>
      <xdr:col>25</xdr:col>
      <xdr:colOff>152400</xdr:colOff>
      <xdr:row>12</xdr:row>
      <xdr:rowOff>152400</xdr:rowOff>
    </xdr:to>
    <xdr:sp macro="" textlink="">
      <xdr:nvSpPr>
        <xdr:cNvPr id="12" name="Triangle Triangle"/>
        <xdr:cNvSpPr/>
      </xdr:nvSpPr>
      <xdr:spPr>
        <a:xfrm rot="16200000">
          <a:off x="14630400" y="22002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12</xdr:row>
      <xdr:rowOff>76200</xdr:rowOff>
    </xdr:from>
    <xdr:to>
      <xdr:col>29</xdr:col>
      <xdr:colOff>0</xdr:colOff>
      <xdr:row>12</xdr:row>
      <xdr:rowOff>76200</xdr:rowOff>
    </xdr:to>
    <xdr:sp macro="" textlink="">
      <xdr:nvSpPr>
        <xdr:cNvPr id="13" name="Line 2005"/>
        <xdr:cNvSpPr>
          <a:spLocks noChangeShapeType="1"/>
        </xdr:cNvSpPr>
      </xdr:nvSpPr>
      <xdr:spPr bwMode="auto">
        <a:xfrm>
          <a:off x="14782800" y="227647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12</xdr:row>
      <xdr:rowOff>76200</xdr:rowOff>
    </xdr:from>
    <xdr:to>
      <xdr:col>25</xdr:col>
      <xdr:colOff>0</xdr:colOff>
      <xdr:row>12</xdr:row>
      <xdr:rowOff>76200</xdr:rowOff>
    </xdr:to>
    <xdr:sp macro="" textlink="">
      <xdr:nvSpPr>
        <xdr:cNvPr id="14" name="Line 2006"/>
        <xdr:cNvSpPr>
          <a:spLocks noChangeShapeType="1"/>
        </xdr:cNvSpPr>
      </xdr:nvSpPr>
      <xdr:spPr bwMode="auto">
        <a:xfrm>
          <a:off x="12220575" y="2276475"/>
          <a:ext cx="240982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8</xdr:row>
      <xdr:rowOff>76200</xdr:rowOff>
    </xdr:from>
    <xdr:to>
      <xdr:col>22</xdr:col>
      <xdr:colOff>0</xdr:colOff>
      <xdr:row>12</xdr:row>
      <xdr:rowOff>76200</xdr:rowOff>
    </xdr:to>
    <xdr:sp macro="" textlink="">
      <xdr:nvSpPr>
        <xdr:cNvPr id="15" name="Line 2007"/>
        <xdr:cNvSpPr>
          <a:spLocks noChangeShapeType="1"/>
        </xdr:cNvSpPr>
      </xdr:nvSpPr>
      <xdr:spPr bwMode="auto">
        <a:xfrm>
          <a:off x="11925300" y="1543050"/>
          <a:ext cx="295275" cy="7334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82</xdr:row>
      <xdr:rowOff>0</xdr:rowOff>
    </xdr:from>
    <xdr:to>
      <xdr:col>20</xdr:col>
      <xdr:colOff>152400</xdr:colOff>
      <xdr:row>82</xdr:row>
      <xdr:rowOff>152400</xdr:rowOff>
    </xdr:to>
    <xdr:sp macro="" textlink="">
      <xdr:nvSpPr>
        <xdr:cNvPr id="16" name="Triangle Triangle"/>
        <xdr:cNvSpPr/>
      </xdr:nvSpPr>
      <xdr:spPr>
        <a:xfrm rot="16200000">
          <a:off x="11772900" y="150876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20</xdr:col>
      <xdr:colOff>152400</xdr:colOff>
      <xdr:row>82</xdr:row>
      <xdr:rowOff>76200</xdr:rowOff>
    </xdr:from>
    <xdr:to>
      <xdr:col>29</xdr:col>
      <xdr:colOff>0</xdr:colOff>
      <xdr:row>82</xdr:row>
      <xdr:rowOff>76200</xdr:rowOff>
    </xdr:to>
    <xdr:sp macro="" textlink="">
      <xdr:nvSpPr>
        <xdr:cNvPr id="17" name="Line 2008"/>
        <xdr:cNvSpPr>
          <a:spLocks noChangeShapeType="1"/>
        </xdr:cNvSpPr>
      </xdr:nvSpPr>
      <xdr:spPr bwMode="auto">
        <a:xfrm>
          <a:off x="11925300" y="15163800"/>
          <a:ext cx="48672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16</xdr:col>
      <xdr:colOff>0</xdr:colOff>
      <xdr:row>82</xdr:row>
      <xdr:rowOff>76200</xdr:rowOff>
    </xdr:from>
    <xdr:to>
      <xdr:col>20</xdr:col>
      <xdr:colOff>0</xdr:colOff>
      <xdr:row>82</xdr:row>
      <xdr:rowOff>76200</xdr:rowOff>
    </xdr:to>
    <xdr:sp macro="" textlink="">
      <xdr:nvSpPr>
        <xdr:cNvPr id="18" name="Line 2009"/>
        <xdr:cNvSpPr>
          <a:spLocks noChangeShapeType="1"/>
        </xdr:cNvSpPr>
      </xdr:nvSpPr>
      <xdr:spPr bwMode="auto">
        <a:xfrm>
          <a:off x="9001125" y="15163800"/>
          <a:ext cx="27717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79</xdr:row>
      <xdr:rowOff>76200</xdr:rowOff>
    </xdr:from>
    <xdr:to>
      <xdr:col>16</xdr:col>
      <xdr:colOff>0</xdr:colOff>
      <xdr:row>82</xdr:row>
      <xdr:rowOff>76200</xdr:rowOff>
    </xdr:to>
    <xdr:sp macro="" textlink="">
      <xdr:nvSpPr>
        <xdr:cNvPr id="19" name="Line 2010"/>
        <xdr:cNvSpPr>
          <a:spLocks noChangeShapeType="1"/>
        </xdr:cNvSpPr>
      </xdr:nvSpPr>
      <xdr:spPr bwMode="auto">
        <a:xfrm>
          <a:off x="8705850" y="14611350"/>
          <a:ext cx="295275" cy="5524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77</xdr:row>
      <xdr:rowOff>0</xdr:rowOff>
    </xdr:from>
    <xdr:to>
      <xdr:col>20</xdr:col>
      <xdr:colOff>152400</xdr:colOff>
      <xdr:row>77</xdr:row>
      <xdr:rowOff>152400</xdr:rowOff>
    </xdr:to>
    <xdr:sp macro="" textlink="">
      <xdr:nvSpPr>
        <xdr:cNvPr id="20" name="Triangle Triangle"/>
        <xdr:cNvSpPr/>
      </xdr:nvSpPr>
      <xdr:spPr>
        <a:xfrm rot="16200000">
          <a:off x="11772900" y="141732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20</xdr:col>
      <xdr:colOff>152400</xdr:colOff>
      <xdr:row>77</xdr:row>
      <xdr:rowOff>76200</xdr:rowOff>
    </xdr:from>
    <xdr:to>
      <xdr:col>29</xdr:col>
      <xdr:colOff>0</xdr:colOff>
      <xdr:row>77</xdr:row>
      <xdr:rowOff>76200</xdr:rowOff>
    </xdr:to>
    <xdr:sp macro="" textlink="">
      <xdr:nvSpPr>
        <xdr:cNvPr id="21" name="Line 2011"/>
        <xdr:cNvSpPr>
          <a:spLocks noChangeShapeType="1"/>
        </xdr:cNvSpPr>
      </xdr:nvSpPr>
      <xdr:spPr bwMode="auto">
        <a:xfrm>
          <a:off x="11925300" y="14249400"/>
          <a:ext cx="48672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16</xdr:col>
      <xdr:colOff>0</xdr:colOff>
      <xdr:row>77</xdr:row>
      <xdr:rowOff>76200</xdr:rowOff>
    </xdr:from>
    <xdr:to>
      <xdr:col>20</xdr:col>
      <xdr:colOff>0</xdr:colOff>
      <xdr:row>77</xdr:row>
      <xdr:rowOff>76200</xdr:rowOff>
    </xdr:to>
    <xdr:sp macro="" textlink="">
      <xdr:nvSpPr>
        <xdr:cNvPr id="22" name="Line 2012"/>
        <xdr:cNvSpPr>
          <a:spLocks noChangeShapeType="1"/>
        </xdr:cNvSpPr>
      </xdr:nvSpPr>
      <xdr:spPr bwMode="auto">
        <a:xfrm>
          <a:off x="9001125" y="14249400"/>
          <a:ext cx="27717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77</xdr:row>
      <xdr:rowOff>76200</xdr:rowOff>
    </xdr:from>
    <xdr:to>
      <xdr:col>16</xdr:col>
      <xdr:colOff>0</xdr:colOff>
      <xdr:row>79</xdr:row>
      <xdr:rowOff>76200</xdr:rowOff>
    </xdr:to>
    <xdr:sp macro="" textlink="">
      <xdr:nvSpPr>
        <xdr:cNvPr id="23" name="Line 2013"/>
        <xdr:cNvSpPr>
          <a:spLocks noChangeShapeType="1"/>
        </xdr:cNvSpPr>
      </xdr:nvSpPr>
      <xdr:spPr bwMode="auto">
        <a:xfrm flipV="1">
          <a:off x="8705850" y="1424940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4</xdr:row>
      <xdr:rowOff>0</xdr:rowOff>
    </xdr:from>
    <xdr:to>
      <xdr:col>25</xdr:col>
      <xdr:colOff>152400</xdr:colOff>
      <xdr:row>4</xdr:row>
      <xdr:rowOff>152400</xdr:rowOff>
    </xdr:to>
    <xdr:sp macro="" textlink="">
      <xdr:nvSpPr>
        <xdr:cNvPr id="24" name="Circle Oval"/>
        <xdr:cNvSpPr/>
      </xdr:nvSpPr>
      <xdr:spPr>
        <a:xfrm>
          <a:off x="14630400" y="7334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22</xdr:col>
      <xdr:colOff>0</xdr:colOff>
      <xdr:row>4</xdr:row>
      <xdr:rowOff>76200</xdr:rowOff>
    </xdr:from>
    <xdr:to>
      <xdr:col>25</xdr:col>
      <xdr:colOff>0</xdr:colOff>
      <xdr:row>4</xdr:row>
      <xdr:rowOff>76200</xdr:rowOff>
    </xdr:to>
    <xdr:sp macro="" textlink="">
      <xdr:nvSpPr>
        <xdr:cNvPr id="25" name="Line 2014"/>
        <xdr:cNvSpPr>
          <a:spLocks noChangeShapeType="1"/>
        </xdr:cNvSpPr>
      </xdr:nvSpPr>
      <xdr:spPr bwMode="auto">
        <a:xfrm>
          <a:off x="12220575" y="809625"/>
          <a:ext cx="240982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4</xdr:row>
      <xdr:rowOff>76200</xdr:rowOff>
    </xdr:from>
    <xdr:to>
      <xdr:col>22</xdr:col>
      <xdr:colOff>0</xdr:colOff>
      <xdr:row>8</xdr:row>
      <xdr:rowOff>76200</xdr:rowOff>
    </xdr:to>
    <xdr:sp macro="" textlink="">
      <xdr:nvSpPr>
        <xdr:cNvPr id="26" name="Line 2015"/>
        <xdr:cNvSpPr>
          <a:spLocks noChangeShapeType="1"/>
        </xdr:cNvSpPr>
      </xdr:nvSpPr>
      <xdr:spPr bwMode="auto">
        <a:xfrm flipV="1">
          <a:off x="11925300" y="809625"/>
          <a:ext cx="295275" cy="7334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8</xdr:col>
      <xdr:colOff>0</xdr:colOff>
      <xdr:row>71</xdr:row>
      <xdr:rowOff>0</xdr:rowOff>
    </xdr:from>
    <xdr:to>
      <xdr:col>8</xdr:col>
      <xdr:colOff>152400</xdr:colOff>
      <xdr:row>71</xdr:row>
      <xdr:rowOff>152400</xdr:rowOff>
    </xdr:to>
    <xdr:sp macro="" textlink="">
      <xdr:nvSpPr>
        <xdr:cNvPr id="27" name="Circle Oval"/>
        <xdr:cNvSpPr/>
      </xdr:nvSpPr>
      <xdr:spPr>
        <a:xfrm>
          <a:off x="5238750" y="130778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71</xdr:row>
      <xdr:rowOff>76200</xdr:rowOff>
    </xdr:from>
    <xdr:to>
      <xdr:col>8</xdr:col>
      <xdr:colOff>0</xdr:colOff>
      <xdr:row>71</xdr:row>
      <xdr:rowOff>76200</xdr:rowOff>
    </xdr:to>
    <xdr:sp macro="" textlink="">
      <xdr:nvSpPr>
        <xdr:cNvPr id="28" name="Line 2016"/>
        <xdr:cNvSpPr>
          <a:spLocks noChangeShapeType="1"/>
        </xdr:cNvSpPr>
      </xdr:nvSpPr>
      <xdr:spPr bwMode="auto">
        <a:xfrm>
          <a:off x="2209800" y="13154025"/>
          <a:ext cx="302895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</xdr:col>
      <xdr:colOff>152400</xdr:colOff>
      <xdr:row>48</xdr:row>
      <xdr:rowOff>76200</xdr:rowOff>
    </xdr:from>
    <xdr:to>
      <xdr:col>4</xdr:col>
      <xdr:colOff>0</xdr:colOff>
      <xdr:row>71</xdr:row>
      <xdr:rowOff>76200</xdr:rowOff>
    </xdr:to>
    <xdr:sp macro="" textlink="">
      <xdr:nvSpPr>
        <xdr:cNvPr id="29" name="Line 2017"/>
        <xdr:cNvSpPr>
          <a:spLocks noChangeShapeType="1"/>
        </xdr:cNvSpPr>
      </xdr:nvSpPr>
      <xdr:spPr bwMode="auto">
        <a:xfrm>
          <a:off x="1914525" y="8858250"/>
          <a:ext cx="295275" cy="42957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72</xdr:row>
      <xdr:rowOff>0</xdr:rowOff>
    </xdr:from>
    <xdr:to>
      <xdr:col>25</xdr:col>
      <xdr:colOff>152400</xdr:colOff>
      <xdr:row>72</xdr:row>
      <xdr:rowOff>152400</xdr:rowOff>
    </xdr:to>
    <xdr:sp macro="" textlink="">
      <xdr:nvSpPr>
        <xdr:cNvPr id="30" name="Triangle Triangle"/>
        <xdr:cNvSpPr/>
      </xdr:nvSpPr>
      <xdr:spPr>
        <a:xfrm rot="16200000">
          <a:off x="14630400" y="132588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72</xdr:row>
      <xdr:rowOff>76200</xdr:rowOff>
    </xdr:from>
    <xdr:to>
      <xdr:col>29</xdr:col>
      <xdr:colOff>0</xdr:colOff>
      <xdr:row>72</xdr:row>
      <xdr:rowOff>76200</xdr:rowOff>
    </xdr:to>
    <xdr:sp macro="" textlink="">
      <xdr:nvSpPr>
        <xdr:cNvPr id="31" name="Line 2018"/>
        <xdr:cNvSpPr>
          <a:spLocks noChangeShapeType="1"/>
        </xdr:cNvSpPr>
      </xdr:nvSpPr>
      <xdr:spPr bwMode="auto">
        <a:xfrm>
          <a:off x="14782800" y="1333500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72</xdr:row>
      <xdr:rowOff>76200</xdr:rowOff>
    </xdr:from>
    <xdr:to>
      <xdr:col>25</xdr:col>
      <xdr:colOff>0</xdr:colOff>
      <xdr:row>72</xdr:row>
      <xdr:rowOff>76200</xdr:rowOff>
    </xdr:to>
    <xdr:sp macro="" textlink="">
      <xdr:nvSpPr>
        <xdr:cNvPr id="32" name="Line 2019"/>
        <xdr:cNvSpPr>
          <a:spLocks noChangeShapeType="1"/>
        </xdr:cNvSpPr>
      </xdr:nvSpPr>
      <xdr:spPr bwMode="auto">
        <a:xfrm>
          <a:off x="12220575" y="13335000"/>
          <a:ext cx="240982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69</xdr:row>
      <xdr:rowOff>76200</xdr:rowOff>
    </xdr:from>
    <xdr:to>
      <xdr:col>22</xdr:col>
      <xdr:colOff>0</xdr:colOff>
      <xdr:row>72</xdr:row>
      <xdr:rowOff>76200</xdr:rowOff>
    </xdr:to>
    <xdr:sp macro="" textlink="">
      <xdr:nvSpPr>
        <xdr:cNvPr id="33" name="Line 2020"/>
        <xdr:cNvSpPr>
          <a:spLocks noChangeShapeType="1"/>
        </xdr:cNvSpPr>
      </xdr:nvSpPr>
      <xdr:spPr bwMode="auto">
        <a:xfrm>
          <a:off x="11925300" y="12782550"/>
          <a:ext cx="295275" cy="5524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67</xdr:row>
      <xdr:rowOff>0</xdr:rowOff>
    </xdr:from>
    <xdr:to>
      <xdr:col>25</xdr:col>
      <xdr:colOff>152400</xdr:colOff>
      <xdr:row>67</xdr:row>
      <xdr:rowOff>152400</xdr:rowOff>
    </xdr:to>
    <xdr:sp macro="" textlink="">
      <xdr:nvSpPr>
        <xdr:cNvPr id="34" name="Triangle Triangle"/>
        <xdr:cNvSpPr/>
      </xdr:nvSpPr>
      <xdr:spPr>
        <a:xfrm rot="16200000">
          <a:off x="14630400" y="123444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67</xdr:row>
      <xdr:rowOff>76200</xdr:rowOff>
    </xdr:from>
    <xdr:to>
      <xdr:col>29</xdr:col>
      <xdr:colOff>0</xdr:colOff>
      <xdr:row>67</xdr:row>
      <xdr:rowOff>76200</xdr:rowOff>
    </xdr:to>
    <xdr:sp macro="" textlink="">
      <xdr:nvSpPr>
        <xdr:cNvPr id="35" name="Line 2021"/>
        <xdr:cNvSpPr>
          <a:spLocks noChangeShapeType="1"/>
        </xdr:cNvSpPr>
      </xdr:nvSpPr>
      <xdr:spPr bwMode="auto">
        <a:xfrm>
          <a:off x="14782800" y="1242060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67</xdr:row>
      <xdr:rowOff>76200</xdr:rowOff>
    </xdr:from>
    <xdr:to>
      <xdr:col>25</xdr:col>
      <xdr:colOff>0</xdr:colOff>
      <xdr:row>67</xdr:row>
      <xdr:rowOff>76200</xdr:rowOff>
    </xdr:to>
    <xdr:sp macro="" textlink="">
      <xdr:nvSpPr>
        <xdr:cNvPr id="36" name="Line 2022"/>
        <xdr:cNvSpPr>
          <a:spLocks noChangeShapeType="1"/>
        </xdr:cNvSpPr>
      </xdr:nvSpPr>
      <xdr:spPr bwMode="auto">
        <a:xfrm>
          <a:off x="12220575" y="12420600"/>
          <a:ext cx="240982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67</xdr:row>
      <xdr:rowOff>76200</xdr:rowOff>
    </xdr:from>
    <xdr:to>
      <xdr:col>22</xdr:col>
      <xdr:colOff>0</xdr:colOff>
      <xdr:row>69</xdr:row>
      <xdr:rowOff>76200</xdr:rowOff>
    </xdr:to>
    <xdr:sp macro="" textlink="">
      <xdr:nvSpPr>
        <xdr:cNvPr id="37" name="Line 2023"/>
        <xdr:cNvSpPr>
          <a:spLocks noChangeShapeType="1"/>
        </xdr:cNvSpPr>
      </xdr:nvSpPr>
      <xdr:spPr bwMode="auto">
        <a:xfrm flipV="1">
          <a:off x="11925300" y="1242060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62</xdr:row>
      <xdr:rowOff>0</xdr:rowOff>
    </xdr:from>
    <xdr:to>
      <xdr:col>25</xdr:col>
      <xdr:colOff>152400</xdr:colOff>
      <xdr:row>62</xdr:row>
      <xdr:rowOff>152400</xdr:rowOff>
    </xdr:to>
    <xdr:sp macro="" textlink="">
      <xdr:nvSpPr>
        <xdr:cNvPr id="38" name="Triangle Triangle"/>
        <xdr:cNvSpPr/>
      </xdr:nvSpPr>
      <xdr:spPr>
        <a:xfrm rot="16200000">
          <a:off x="14630400" y="114300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62</xdr:row>
      <xdr:rowOff>76200</xdr:rowOff>
    </xdr:from>
    <xdr:to>
      <xdr:col>29</xdr:col>
      <xdr:colOff>0</xdr:colOff>
      <xdr:row>62</xdr:row>
      <xdr:rowOff>76200</xdr:rowOff>
    </xdr:to>
    <xdr:sp macro="" textlink="">
      <xdr:nvSpPr>
        <xdr:cNvPr id="39" name="Line 2024"/>
        <xdr:cNvSpPr>
          <a:spLocks noChangeShapeType="1"/>
        </xdr:cNvSpPr>
      </xdr:nvSpPr>
      <xdr:spPr bwMode="auto">
        <a:xfrm>
          <a:off x="14782800" y="11506200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62</xdr:row>
      <xdr:rowOff>76200</xdr:rowOff>
    </xdr:from>
    <xdr:to>
      <xdr:col>25</xdr:col>
      <xdr:colOff>0</xdr:colOff>
      <xdr:row>62</xdr:row>
      <xdr:rowOff>76200</xdr:rowOff>
    </xdr:to>
    <xdr:sp macro="" textlink="">
      <xdr:nvSpPr>
        <xdr:cNvPr id="40" name="Line 2025"/>
        <xdr:cNvSpPr>
          <a:spLocks noChangeShapeType="1"/>
        </xdr:cNvSpPr>
      </xdr:nvSpPr>
      <xdr:spPr bwMode="auto">
        <a:xfrm>
          <a:off x="12220575" y="11506200"/>
          <a:ext cx="240982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58</xdr:row>
      <xdr:rowOff>76200</xdr:rowOff>
    </xdr:from>
    <xdr:to>
      <xdr:col>22</xdr:col>
      <xdr:colOff>0</xdr:colOff>
      <xdr:row>62</xdr:row>
      <xdr:rowOff>76200</xdr:rowOff>
    </xdr:to>
    <xdr:sp macro="" textlink="">
      <xdr:nvSpPr>
        <xdr:cNvPr id="41" name="Line 2026"/>
        <xdr:cNvSpPr>
          <a:spLocks noChangeShapeType="1"/>
        </xdr:cNvSpPr>
      </xdr:nvSpPr>
      <xdr:spPr bwMode="auto">
        <a:xfrm>
          <a:off x="11925300" y="10772775"/>
          <a:ext cx="295275" cy="7334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54</xdr:row>
      <xdr:rowOff>0</xdr:rowOff>
    </xdr:from>
    <xdr:to>
      <xdr:col>25</xdr:col>
      <xdr:colOff>152400</xdr:colOff>
      <xdr:row>54</xdr:row>
      <xdr:rowOff>152400</xdr:rowOff>
    </xdr:to>
    <xdr:sp macro="" textlink="">
      <xdr:nvSpPr>
        <xdr:cNvPr id="42" name="Circle Oval"/>
        <xdr:cNvSpPr/>
      </xdr:nvSpPr>
      <xdr:spPr>
        <a:xfrm>
          <a:off x="14630400" y="99631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22</xdr:col>
      <xdr:colOff>0</xdr:colOff>
      <xdr:row>54</xdr:row>
      <xdr:rowOff>76200</xdr:rowOff>
    </xdr:from>
    <xdr:to>
      <xdr:col>25</xdr:col>
      <xdr:colOff>0</xdr:colOff>
      <xdr:row>54</xdr:row>
      <xdr:rowOff>76200</xdr:rowOff>
    </xdr:to>
    <xdr:sp macro="" textlink="">
      <xdr:nvSpPr>
        <xdr:cNvPr id="43" name="Line 2027"/>
        <xdr:cNvSpPr>
          <a:spLocks noChangeShapeType="1"/>
        </xdr:cNvSpPr>
      </xdr:nvSpPr>
      <xdr:spPr bwMode="auto">
        <a:xfrm>
          <a:off x="12220575" y="10039350"/>
          <a:ext cx="240982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54</xdr:row>
      <xdr:rowOff>76200</xdr:rowOff>
    </xdr:from>
    <xdr:to>
      <xdr:col>22</xdr:col>
      <xdr:colOff>0</xdr:colOff>
      <xdr:row>58</xdr:row>
      <xdr:rowOff>76200</xdr:rowOff>
    </xdr:to>
    <xdr:sp macro="" textlink="">
      <xdr:nvSpPr>
        <xdr:cNvPr id="44" name="Line 2028"/>
        <xdr:cNvSpPr>
          <a:spLocks noChangeShapeType="1"/>
        </xdr:cNvSpPr>
      </xdr:nvSpPr>
      <xdr:spPr bwMode="auto">
        <a:xfrm flipV="1">
          <a:off x="11925300" y="10039350"/>
          <a:ext cx="295275" cy="7334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69</xdr:row>
      <xdr:rowOff>0</xdr:rowOff>
    </xdr:from>
    <xdr:to>
      <xdr:col>20</xdr:col>
      <xdr:colOff>152400</xdr:colOff>
      <xdr:row>69</xdr:row>
      <xdr:rowOff>152400</xdr:rowOff>
    </xdr:to>
    <xdr:sp macro="" textlink="">
      <xdr:nvSpPr>
        <xdr:cNvPr id="45" name="Circle Oval"/>
        <xdr:cNvSpPr/>
      </xdr:nvSpPr>
      <xdr:spPr>
        <a:xfrm>
          <a:off x="11772900" y="127063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69</xdr:row>
      <xdr:rowOff>76200</xdr:rowOff>
    </xdr:from>
    <xdr:to>
      <xdr:col>20</xdr:col>
      <xdr:colOff>0</xdr:colOff>
      <xdr:row>69</xdr:row>
      <xdr:rowOff>76200</xdr:rowOff>
    </xdr:to>
    <xdr:sp macro="" textlink="">
      <xdr:nvSpPr>
        <xdr:cNvPr id="46" name="Line 2029"/>
        <xdr:cNvSpPr>
          <a:spLocks noChangeShapeType="1"/>
        </xdr:cNvSpPr>
      </xdr:nvSpPr>
      <xdr:spPr bwMode="auto">
        <a:xfrm>
          <a:off x="9001125" y="12782550"/>
          <a:ext cx="27717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63</xdr:row>
      <xdr:rowOff>76200</xdr:rowOff>
    </xdr:from>
    <xdr:to>
      <xdr:col>16</xdr:col>
      <xdr:colOff>0</xdr:colOff>
      <xdr:row>69</xdr:row>
      <xdr:rowOff>76200</xdr:rowOff>
    </xdr:to>
    <xdr:sp macro="" textlink="">
      <xdr:nvSpPr>
        <xdr:cNvPr id="47" name="Line 2030"/>
        <xdr:cNvSpPr>
          <a:spLocks noChangeShapeType="1"/>
        </xdr:cNvSpPr>
      </xdr:nvSpPr>
      <xdr:spPr bwMode="auto">
        <a:xfrm>
          <a:off x="8705850" y="11687175"/>
          <a:ext cx="295275" cy="10953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58</xdr:row>
      <xdr:rowOff>0</xdr:rowOff>
    </xdr:from>
    <xdr:to>
      <xdr:col>20</xdr:col>
      <xdr:colOff>152400</xdr:colOff>
      <xdr:row>58</xdr:row>
      <xdr:rowOff>152400</xdr:rowOff>
    </xdr:to>
    <xdr:sp macro="" textlink="">
      <xdr:nvSpPr>
        <xdr:cNvPr id="48" name="Circle Oval"/>
        <xdr:cNvSpPr/>
      </xdr:nvSpPr>
      <xdr:spPr>
        <a:xfrm>
          <a:off x="11772900" y="106965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58</xdr:row>
      <xdr:rowOff>76200</xdr:rowOff>
    </xdr:from>
    <xdr:to>
      <xdr:col>20</xdr:col>
      <xdr:colOff>0</xdr:colOff>
      <xdr:row>58</xdr:row>
      <xdr:rowOff>76200</xdr:rowOff>
    </xdr:to>
    <xdr:sp macro="" textlink="">
      <xdr:nvSpPr>
        <xdr:cNvPr id="49" name="Line 2031"/>
        <xdr:cNvSpPr>
          <a:spLocks noChangeShapeType="1"/>
        </xdr:cNvSpPr>
      </xdr:nvSpPr>
      <xdr:spPr bwMode="auto">
        <a:xfrm>
          <a:off x="9001125" y="10772775"/>
          <a:ext cx="27717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58</xdr:row>
      <xdr:rowOff>76200</xdr:rowOff>
    </xdr:from>
    <xdr:to>
      <xdr:col>16</xdr:col>
      <xdr:colOff>0</xdr:colOff>
      <xdr:row>63</xdr:row>
      <xdr:rowOff>76200</xdr:rowOff>
    </xdr:to>
    <xdr:sp macro="" textlink="">
      <xdr:nvSpPr>
        <xdr:cNvPr id="50" name="Line 2032"/>
        <xdr:cNvSpPr>
          <a:spLocks noChangeShapeType="1"/>
        </xdr:cNvSpPr>
      </xdr:nvSpPr>
      <xdr:spPr bwMode="auto">
        <a:xfrm flipV="1">
          <a:off x="8705850" y="10772775"/>
          <a:ext cx="295275" cy="9144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14</xdr:col>
      <xdr:colOff>0</xdr:colOff>
      <xdr:row>79</xdr:row>
      <xdr:rowOff>0</xdr:rowOff>
    </xdr:from>
    <xdr:to>
      <xdr:col>14</xdr:col>
      <xdr:colOff>152400</xdr:colOff>
      <xdr:row>79</xdr:row>
      <xdr:rowOff>152400</xdr:rowOff>
    </xdr:to>
    <xdr:sp macro="" textlink="">
      <xdr:nvSpPr>
        <xdr:cNvPr id="51" name="Circle Oval"/>
        <xdr:cNvSpPr/>
      </xdr:nvSpPr>
      <xdr:spPr>
        <a:xfrm>
          <a:off x="8553450" y="145351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0</xdr:colOff>
      <xdr:row>79</xdr:row>
      <xdr:rowOff>76200</xdr:rowOff>
    </xdr:from>
    <xdr:to>
      <xdr:col>14</xdr:col>
      <xdr:colOff>0</xdr:colOff>
      <xdr:row>79</xdr:row>
      <xdr:rowOff>76200</xdr:rowOff>
    </xdr:to>
    <xdr:sp macro="" textlink="">
      <xdr:nvSpPr>
        <xdr:cNvPr id="52" name="Line 2033"/>
        <xdr:cNvSpPr>
          <a:spLocks noChangeShapeType="1"/>
        </xdr:cNvSpPr>
      </xdr:nvSpPr>
      <xdr:spPr bwMode="auto">
        <a:xfrm>
          <a:off x="5686425" y="14611350"/>
          <a:ext cx="286702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8</xdr:col>
      <xdr:colOff>152400</xdr:colOff>
      <xdr:row>71</xdr:row>
      <xdr:rowOff>76200</xdr:rowOff>
    </xdr:from>
    <xdr:to>
      <xdr:col>10</xdr:col>
      <xdr:colOff>0</xdr:colOff>
      <xdr:row>79</xdr:row>
      <xdr:rowOff>76200</xdr:rowOff>
    </xdr:to>
    <xdr:sp macro="" textlink="">
      <xdr:nvSpPr>
        <xdr:cNvPr id="53" name="Line 2034"/>
        <xdr:cNvSpPr>
          <a:spLocks noChangeShapeType="1"/>
        </xdr:cNvSpPr>
      </xdr:nvSpPr>
      <xdr:spPr bwMode="auto">
        <a:xfrm>
          <a:off x="5391150" y="13154025"/>
          <a:ext cx="295275" cy="14573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14</xdr:col>
      <xdr:colOff>0</xdr:colOff>
      <xdr:row>63</xdr:row>
      <xdr:rowOff>0</xdr:rowOff>
    </xdr:from>
    <xdr:to>
      <xdr:col>14</xdr:col>
      <xdr:colOff>152400</xdr:colOff>
      <xdr:row>63</xdr:row>
      <xdr:rowOff>152400</xdr:rowOff>
    </xdr:to>
    <xdr:sp macro="" textlink="">
      <xdr:nvSpPr>
        <xdr:cNvPr id="54" name="Square Rectangle"/>
        <xdr:cNvSpPr/>
      </xdr:nvSpPr>
      <xdr:spPr>
        <a:xfrm>
          <a:off x="8553450" y="11610975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  <a:extLst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0</xdr:colOff>
      <xdr:row>63</xdr:row>
      <xdr:rowOff>76200</xdr:rowOff>
    </xdr:from>
    <xdr:to>
      <xdr:col>14</xdr:col>
      <xdr:colOff>0</xdr:colOff>
      <xdr:row>63</xdr:row>
      <xdr:rowOff>76200</xdr:rowOff>
    </xdr:to>
    <xdr:sp macro="" textlink="">
      <xdr:nvSpPr>
        <xdr:cNvPr id="55" name="Line 2035"/>
        <xdr:cNvSpPr>
          <a:spLocks noChangeShapeType="1"/>
        </xdr:cNvSpPr>
      </xdr:nvSpPr>
      <xdr:spPr bwMode="auto">
        <a:xfrm>
          <a:off x="5686425" y="11687175"/>
          <a:ext cx="286702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8</xdr:col>
      <xdr:colOff>152400</xdr:colOff>
      <xdr:row>63</xdr:row>
      <xdr:rowOff>76200</xdr:rowOff>
    </xdr:from>
    <xdr:to>
      <xdr:col>10</xdr:col>
      <xdr:colOff>0</xdr:colOff>
      <xdr:row>71</xdr:row>
      <xdr:rowOff>76200</xdr:rowOff>
    </xdr:to>
    <xdr:sp macro="" textlink="">
      <xdr:nvSpPr>
        <xdr:cNvPr id="56" name="Line 2036"/>
        <xdr:cNvSpPr>
          <a:spLocks noChangeShapeType="1"/>
        </xdr:cNvSpPr>
      </xdr:nvSpPr>
      <xdr:spPr bwMode="auto">
        <a:xfrm flipV="1">
          <a:off x="5391150" y="11687175"/>
          <a:ext cx="295275" cy="14668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152400</xdr:colOff>
      <xdr:row>25</xdr:row>
      <xdr:rowOff>152400</xdr:rowOff>
    </xdr:to>
    <xdr:sp macro="" textlink="">
      <xdr:nvSpPr>
        <xdr:cNvPr id="57" name="Circle Oval"/>
        <xdr:cNvSpPr/>
      </xdr:nvSpPr>
      <xdr:spPr>
        <a:xfrm>
          <a:off x="5238750" y="45720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21167</xdr:colOff>
      <xdr:row>25</xdr:row>
      <xdr:rowOff>74084</xdr:rowOff>
    </xdr:from>
    <xdr:to>
      <xdr:col>8</xdr:col>
      <xdr:colOff>0</xdr:colOff>
      <xdr:row>25</xdr:row>
      <xdr:rowOff>76200</xdr:rowOff>
    </xdr:to>
    <xdr:sp macro="" textlink="">
      <xdr:nvSpPr>
        <xdr:cNvPr id="58" name="Line 2037"/>
        <xdr:cNvSpPr>
          <a:spLocks noChangeShapeType="1"/>
        </xdr:cNvSpPr>
      </xdr:nvSpPr>
      <xdr:spPr bwMode="auto">
        <a:xfrm>
          <a:off x="1957917" y="4624917"/>
          <a:ext cx="3280833" cy="2116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152400</xdr:colOff>
      <xdr:row>8</xdr:row>
      <xdr:rowOff>152400</xdr:rowOff>
    </xdr:to>
    <xdr:sp macro="" textlink="">
      <xdr:nvSpPr>
        <xdr:cNvPr id="64" name="Circle Oval"/>
        <xdr:cNvSpPr/>
      </xdr:nvSpPr>
      <xdr:spPr>
        <a:xfrm>
          <a:off x="11772900" y="14668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8</xdr:row>
      <xdr:rowOff>76200</xdr:rowOff>
    </xdr:from>
    <xdr:to>
      <xdr:col>20</xdr:col>
      <xdr:colOff>0</xdr:colOff>
      <xdr:row>8</xdr:row>
      <xdr:rowOff>76200</xdr:rowOff>
    </xdr:to>
    <xdr:sp macro="" textlink="">
      <xdr:nvSpPr>
        <xdr:cNvPr id="65" name="Line 2042"/>
        <xdr:cNvSpPr>
          <a:spLocks noChangeShapeType="1"/>
        </xdr:cNvSpPr>
      </xdr:nvSpPr>
      <xdr:spPr bwMode="auto">
        <a:xfrm>
          <a:off x="9001125" y="1543050"/>
          <a:ext cx="27717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8</xdr:row>
      <xdr:rowOff>76200</xdr:rowOff>
    </xdr:from>
    <xdr:to>
      <xdr:col>16</xdr:col>
      <xdr:colOff>0</xdr:colOff>
      <xdr:row>13</xdr:row>
      <xdr:rowOff>76200</xdr:rowOff>
    </xdr:to>
    <xdr:sp macro="" textlink="">
      <xdr:nvSpPr>
        <xdr:cNvPr id="66" name="Line 2043"/>
        <xdr:cNvSpPr>
          <a:spLocks noChangeShapeType="1"/>
        </xdr:cNvSpPr>
      </xdr:nvSpPr>
      <xdr:spPr bwMode="auto">
        <a:xfrm flipV="1">
          <a:off x="8705850" y="1543050"/>
          <a:ext cx="295275" cy="9144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29</xdr:col>
      <xdr:colOff>0</xdr:colOff>
      <xdr:row>57</xdr:row>
      <xdr:rowOff>0</xdr:rowOff>
    </xdr:from>
    <xdr:to>
      <xdr:col>29</xdr:col>
      <xdr:colOff>152400</xdr:colOff>
      <xdr:row>57</xdr:row>
      <xdr:rowOff>152400</xdr:rowOff>
    </xdr:to>
    <xdr:sp macro="" textlink="">
      <xdr:nvSpPr>
        <xdr:cNvPr id="67" name="Triangle Triangle"/>
        <xdr:cNvSpPr/>
      </xdr:nvSpPr>
      <xdr:spPr>
        <a:xfrm rot="16200000">
          <a:off x="16792575" y="105156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27</xdr:col>
      <xdr:colOff>0</xdr:colOff>
      <xdr:row>57</xdr:row>
      <xdr:rowOff>76200</xdr:rowOff>
    </xdr:from>
    <xdr:to>
      <xdr:col>29</xdr:col>
      <xdr:colOff>0</xdr:colOff>
      <xdr:row>57</xdr:row>
      <xdr:rowOff>76200</xdr:rowOff>
    </xdr:to>
    <xdr:sp macro="" textlink="">
      <xdr:nvSpPr>
        <xdr:cNvPr id="68" name="Line 2044"/>
        <xdr:cNvSpPr>
          <a:spLocks noChangeShapeType="1"/>
        </xdr:cNvSpPr>
      </xdr:nvSpPr>
      <xdr:spPr bwMode="auto">
        <a:xfrm>
          <a:off x="15078075" y="105918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25</xdr:col>
      <xdr:colOff>152400</xdr:colOff>
      <xdr:row>54</xdr:row>
      <xdr:rowOff>76200</xdr:rowOff>
    </xdr:from>
    <xdr:to>
      <xdr:col>27</xdr:col>
      <xdr:colOff>0</xdr:colOff>
      <xdr:row>57</xdr:row>
      <xdr:rowOff>76200</xdr:rowOff>
    </xdr:to>
    <xdr:sp macro="" textlink="">
      <xdr:nvSpPr>
        <xdr:cNvPr id="69" name="Line 2045"/>
        <xdr:cNvSpPr>
          <a:spLocks noChangeShapeType="1"/>
        </xdr:cNvSpPr>
      </xdr:nvSpPr>
      <xdr:spPr bwMode="auto">
        <a:xfrm>
          <a:off x="14782800" y="10039350"/>
          <a:ext cx="295275" cy="5524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14</xdr:col>
      <xdr:colOff>0</xdr:colOff>
      <xdr:row>13</xdr:row>
      <xdr:rowOff>0</xdr:rowOff>
    </xdr:from>
    <xdr:to>
      <xdr:col>14</xdr:col>
      <xdr:colOff>152400</xdr:colOff>
      <xdr:row>13</xdr:row>
      <xdr:rowOff>152400</xdr:rowOff>
    </xdr:to>
    <xdr:sp macro="" textlink="">
      <xdr:nvSpPr>
        <xdr:cNvPr id="70" name="Square Rectangle"/>
        <xdr:cNvSpPr/>
      </xdr:nvSpPr>
      <xdr:spPr>
        <a:xfrm>
          <a:off x="8553450" y="2381250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0</xdr:colOff>
      <xdr:row>13</xdr:row>
      <xdr:rowOff>76200</xdr:rowOff>
    </xdr:from>
    <xdr:to>
      <xdr:col>14</xdr:col>
      <xdr:colOff>0</xdr:colOff>
      <xdr:row>13</xdr:row>
      <xdr:rowOff>76200</xdr:rowOff>
    </xdr:to>
    <xdr:sp macro="" textlink="">
      <xdr:nvSpPr>
        <xdr:cNvPr id="71" name="Line 2046"/>
        <xdr:cNvSpPr>
          <a:spLocks noChangeShapeType="1"/>
        </xdr:cNvSpPr>
      </xdr:nvSpPr>
      <xdr:spPr bwMode="auto">
        <a:xfrm>
          <a:off x="5686425" y="2457450"/>
          <a:ext cx="286702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8</xdr:col>
      <xdr:colOff>152400</xdr:colOff>
      <xdr:row>13</xdr:row>
      <xdr:rowOff>76200</xdr:rowOff>
    </xdr:from>
    <xdr:to>
      <xdr:col>10</xdr:col>
      <xdr:colOff>0</xdr:colOff>
      <xdr:row>25</xdr:row>
      <xdr:rowOff>76200</xdr:rowOff>
    </xdr:to>
    <xdr:sp macro="" textlink="">
      <xdr:nvSpPr>
        <xdr:cNvPr id="72" name="Line 2047"/>
        <xdr:cNvSpPr>
          <a:spLocks noChangeShapeType="1"/>
        </xdr:cNvSpPr>
      </xdr:nvSpPr>
      <xdr:spPr bwMode="auto">
        <a:xfrm flipV="1">
          <a:off x="5391150" y="2457450"/>
          <a:ext cx="295275" cy="21907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29</xdr:col>
      <xdr:colOff>0</xdr:colOff>
      <xdr:row>52</xdr:row>
      <xdr:rowOff>0</xdr:rowOff>
    </xdr:from>
    <xdr:to>
      <xdr:col>29</xdr:col>
      <xdr:colOff>152400</xdr:colOff>
      <xdr:row>52</xdr:row>
      <xdr:rowOff>152400</xdr:rowOff>
    </xdr:to>
    <xdr:sp macro="" textlink="">
      <xdr:nvSpPr>
        <xdr:cNvPr id="76" name="Triangle Triangle"/>
        <xdr:cNvSpPr/>
      </xdr:nvSpPr>
      <xdr:spPr>
        <a:xfrm rot="16200000">
          <a:off x="16792575" y="96012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27</xdr:col>
      <xdr:colOff>0</xdr:colOff>
      <xdr:row>52</xdr:row>
      <xdr:rowOff>76200</xdr:rowOff>
    </xdr:from>
    <xdr:to>
      <xdr:col>29</xdr:col>
      <xdr:colOff>0</xdr:colOff>
      <xdr:row>52</xdr:row>
      <xdr:rowOff>76200</xdr:rowOff>
    </xdr:to>
    <xdr:sp macro="" textlink="">
      <xdr:nvSpPr>
        <xdr:cNvPr id="77" name="Line 2050"/>
        <xdr:cNvSpPr>
          <a:spLocks noChangeShapeType="1"/>
        </xdr:cNvSpPr>
      </xdr:nvSpPr>
      <xdr:spPr bwMode="auto">
        <a:xfrm>
          <a:off x="15078075" y="9677400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25</xdr:col>
      <xdr:colOff>152400</xdr:colOff>
      <xdr:row>52</xdr:row>
      <xdr:rowOff>76200</xdr:rowOff>
    </xdr:from>
    <xdr:to>
      <xdr:col>27</xdr:col>
      <xdr:colOff>0</xdr:colOff>
      <xdr:row>54</xdr:row>
      <xdr:rowOff>76200</xdr:rowOff>
    </xdr:to>
    <xdr:sp macro="" textlink="">
      <xdr:nvSpPr>
        <xdr:cNvPr id="78" name="Line 2051"/>
        <xdr:cNvSpPr>
          <a:spLocks noChangeShapeType="1"/>
        </xdr:cNvSpPr>
      </xdr:nvSpPr>
      <xdr:spPr bwMode="auto">
        <a:xfrm flipV="1">
          <a:off x="14782800" y="9677400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14</xdr:col>
      <xdr:colOff>0</xdr:colOff>
      <xdr:row>38</xdr:row>
      <xdr:rowOff>0</xdr:rowOff>
    </xdr:from>
    <xdr:to>
      <xdr:col>14</xdr:col>
      <xdr:colOff>152400</xdr:colOff>
      <xdr:row>38</xdr:row>
      <xdr:rowOff>152400</xdr:rowOff>
    </xdr:to>
    <xdr:sp macro="" textlink="">
      <xdr:nvSpPr>
        <xdr:cNvPr id="79" name="Square Rectangle"/>
        <xdr:cNvSpPr/>
      </xdr:nvSpPr>
      <xdr:spPr>
        <a:xfrm>
          <a:off x="8553450" y="6953250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0</xdr:colOff>
      <xdr:row>38</xdr:row>
      <xdr:rowOff>76200</xdr:rowOff>
    </xdr:from>
    <xdr:to>
      <xdr:col>14</xdr:col>
      <xdr:colOff>0</xdr:colOff>
      <xdr:row>38</xdr:row>
      <xdr:rowOff>76200</xdr:rowOff>
    </xdr:to>
    <xdr:sp macro="" textlink="">
      <xdr:nvSpPr>
        <xdr:cNvPr id="80" name="Line 2052"/>
        <xdr:cNvSpPr>
          <a:spLocks noChangeShapeType="1"/>
        </xdr:cNvSpPr>
      </xdr:nvSpPr>
      <xdr:spPr bwMode="auto">
        <a:xfrm>
          <a:off x="5686425" y="7029450"/>
          <a:ext cx="286702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8</xdr:col>
      <xdr:colOff>152400</xdr:colOff>
      <xdr:row>25</xdr:row>
      <xdr:rowOff>76200</xdr:rowOff>
    </xdr:from>
    <xdr:to>
      <xdr:col>10</xdr:col>
      <xdr:colOff>0</xdr:colOff>
      <xdr:row>38</xdr:row>
      <xdr:rowOff>76200</xdr:rowOff>
    </xdr:to>
    <xdr:sp macro="" textlink="">
      <xdr:nvSpPr>
        <xdr:cNvPr id="81" name="Line 2053"/>
        <xdr:cNvSpPr>
          <a:spLocks noChangeShapeType="1"/>
        </xdr:cNvSpPr>
      </xdr:nvSpPr>
      <xdr:spPr bwMode="auto">
        <a:xfrm>
          <a:off x="5391150" y="4648200"/>
          <a:ext cx="295275" cy="23812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29</xdr:col>
      <xdr:colOff>0</xdr:colOff>
      <xdr:row>32</xdr:row>
      <xdr:rowOff>0</xdr:rowOff>
    </xdr:from>
    <xdr:to>
      <xdr:col>29</xdr:col>
      <xdr:colOff>152400</xdr:colOff>
      <xdr:row>32</xdr:row>
      <xdr:rowOff>152400</xdr:rowOff>
    </xdr:to>
    <xdr:sp macro="" textlink="">
      <xdr:nvSpPr>
        <xdr:cNvPr id="82" name="Triangle Triangle"/>
        <xdr:cNvSpPr/>
      </xdr:nvSpPr>
      <xdr:spPr>
        <a:xfrm rot="16200000">
          <a:off x="16792575" y="58578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27</xdr:col>
      <xdr:colOff>0</xdr:colOff>
      <xdr:row>32</xdr:row>
      <xdr:rowOff>76200</xdr:rowOff>
    </xdr:from>
    <xdr:to>
      <xdr:col>29</xdr:col>
      <xdr:colOff>0</xdr:colOff>
      <xdr:row>32</xdr:row>
      <xdr:rowOff>76200</xdr:rowOff>
    </xdr:to>
    <xdr:sp macro="" textlink="">
      <xdr:nvSpPr>
        <xdr:cNvPr id="83" name="Line 2054"/>
        <xdr:cNvSpPr>
          <a:spLocks noChangeShapeType="1"/>
        </xdr:cNvSpPr>
      </xdr:nvSpPr>
      <xdr:spPr bwMode="auto">
        <a:xfrm>
          <a:off x="15078075" y="59340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25</xdr:col>
      <xdr:colOff>152400</xdr:colOff>
      <xdr:row>29</xdr:row>
      <xdr:rowOff>76200</xdr:rowOff>
    </xdr:from>
    <xdr:to>
      <xdr:col>27</xdr:col>
      <xdr:colOff>0</xdr:colOff>
      <xdr:row>32</xdr:row>
      <xdr:rowOff>76200</xdr:rowOff>
    </xdr:to>
    <xdr:sp macro="" textlink="">
      <xdr:nvSpPr>
        <xdr:cNvPr id="84" name="Line 2055"/>
        <xdr:cNvSpPr>
          <a:spLocks noChangeShapeType="1"/>
        </xdr:cNvSpPr>
      </xdr:nvSpPr>
      <xdr:spPr bwMode="auto">
        <a:xfrm>
          <a:off x="14782800" y="5381625"/>
          <a:ext cx="295275" cy="5524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29</xdr:col>
      <xdr:colOff>0</xdr:colOff>
      <xdr:row>27</xdr:row>
      <xdr:rowOff>0</xdr:rowOff>
    </xdr:from>
    <xdr:to>
      <xdr:col>29</xdr:col>
      <xdr:colOff>152400</xdr:colOff>
      <xdr:row>27</xdr:row>
      <xdr:rowOff>152400</xdr:rowOff>
    </xdr:to>
    <xdr:sp macro="" textlink="">
      <xdr:nvSpPr>
        <xdr:cNvPr id="85" name="Triangle Triangle"/>
        <xdr:cNvSpPr/>
      </xdr:nvSpPr>
      <xdr:spPr>
        <a:xfrm rot="16200000">
          <a:off x="16792575" y="49434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27</xdr:col>
      <xdr:colOff>0</xdr:colOff>
      <xdr:row>27</xdr:row>
      <xdr:rowOff>76200</xdr:rowOff>
    </xdr:from>
    <xdr:to>
      <xdr:col>29</xdr:col>
      <xdr:colOff>0</xdr:colOff>
      <xdr:row>27</xdr:row>
      <xdr:rowOff>76200</xdr:rowOff>
    </xdr:to>
    <xdr:sp macro="" textlink="">
      <xdr:nvSpPr>
        <xdr:cNvPr id="86" name="Line 2056"/>
        <xdr:cNvSpPr>
          <a:spLocks noChangeShapeType="1"/>
        </xdr:cNvSpPr>
      </xdr:nvSpPr>
      <xdr:spPr bwMode="auto">
        <a:xfrm>
          <a:off x="15078075" y="5019675"/>
          <a:ext cx="17145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25</xdr:col>
      <xdr:colOff>152400</xdr:colOff>
      <xdr:row>27</xdr:row>
      <xdr:rowOff>76200</xdr:rowOff>
    </xdr:from>
    <xdr:to>
      <xdr:col>27</xdr:col>
      <xdr:colOff>0</xdr:colOff>
      <xdr:row>29</xdr:row>
      <xdr:rowOff>76200</xdr:rowOff>
    </xdr:to>
    <xdr:sp macro="" textlink="">
      <xdr:nvSpPr>
        <xdr:cNvPr id="87" name="Line 2057"/>
        <xdr:cNvSpPr>
          <a:spLocks noChangeShapeType="1"/>
        </xdr:cNvSpPr>
      </xdr:nvSpPr>
      <xdr:spPr bwMode="auto">
        <a:xfrm flipV="1">
          <a:off x="14782800" y="5019675"/>
          <a:ext cx="295275" cy="361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37</xdr:row>
      <xdr:rowOff>0</xdr:rowOff>
    </xdr:from>
    <xdr:to>
      <xdr:col>25</xdr:col>
      <xdr:colOff>152400</xdr:colOff>
      <xdr:row>37</xdr:row>
      <xdr:rowOff>152400</xdr:rowOff>
    </xdr:to>
    <xdr:sp macro="" textlink="">
      <xdr:nvSpPr>
        <xdr:cNvPr id="92" name="Triangle Triangle"/>
        <xdr:cNvSpPr/>
      </xdr:nvSpPr>
      <xdr:spPr>
        <a:xfrm rot="16200000">
          <a:off x="14630400" y="67722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152400</xdr:colOff>
      <xdr:row>37</xdr:row>
      <xdr:rowOff>76200</xdr:rowOff>
    </xdr:from>
    <xdr:to>
      <xdr:col>29</xdr:col>
      <xdr:colOff>0</xdr:colOff>
      <xdr:row>37</xdr:row>
      <xdr:rowOff>76200</xdr:rowOff>
    </xdr:to>
    <xdr:sp macro="" textlink="">
      <xdr:nvSpPr>
        <xdr:cNvPr id="93" name="Line 2061"/>
        <xdr:cNvSpPr>
          <a:spLocks noChangeShapeType="1"/>
        </xdr:cNvSpPr>
      </xdr:nvSpPr>
      <xdr:spPr bwMode="auto">
        <a:xfrm>
          <a:off x="14782800" y="6848475"/>
          <a:ext cx="20097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37</xdr:row>
      <xdr:rowOff>76200</xdr:rowOff>
    </xdr:from>
    <xdr:to>
      <xdr:col>25</xdr:col>
      <xdr:colOff>0</xdr:colOff>
      <xdr:row>37</xdr:row>
      <xdr:rowOff>76200</xdr:rowOff>
    </xdr:to>
    <xdr:sp macro="" textlink="">
      <xdr:nvSpPr>
        <xdr:cNvPr id="94" name="Line 2062"/>
        <xdr:cNvSpPr>
          <a:spLocks noChangeShapeType="1"/>
        </xdr:cNvSpPr>
      </xdr:nvSpPr>
      <xdr:spPr bwMode="auto">
        <a:xfrm>
          <a:off x="12220575" y="6848475"/>
          <a:ext cx="240982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33</xdr:row>
      <xdr:rowOff>76200</xdr:rowOff>
    </xdr:from>
    <xdr:to>
      <xdr:col>22</xdr:col>
      <xdr:colOff>0</xdr:colOff>
      <xdr:row>37</xdr:row>
      <xdr:rowOff>76200</xdr:rowOff>
    </xdr:to>
    <xdr:sp macro="" textlink="">
      <xdr:nvSpPr>
        <xdr:cNvPr id="95" name="Line 2063"/>
        <xdr:cNvSpPr>
          <a:spLocks noChangeShapeType="1"/>
        </xdr:cNvSpPr>
      </xdr:nvSpPr>
      <xdr:spPr bwMode="auto">
        <a:xfrm>
          <a:off x="11925300" y="6115050"/>
          <a:ext cx="295275" cy="7334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25</xdr:col>
      <xdr:colOff>0</xdr:colOff>
      <xdr:row>29</xdr:row>
      <xdr:rowOff>0</xdr:rowOff>
    </xdr:from>
    <xdr:to>
      <xdr:col>25</xdr:col>
      <xdr:colOff>152400</xdr:colOff>
      <xdr:row>29</xdr:row>
      <xdr:rowOff>152400</xdr:rowOff>
    </xdr:to>
    <xdr:sp macro="" textlink="">
      <xdr:nvSpPr>
        <xdr:cNvPr id="96" name="Circle Oval"/>
        <xdr:cNvSpPr/>
      </xdr:nvSpPr>
      <xdr:spPr>
        <a:xfrm>
          <a:off x="14630400" y="53054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22</xdr:col>
      <xdr:colOff>0</xdr:colOff>
      <xdr:row>29</xdr:row>
      <xdr:rowOff>76200</xdr:rowOff>
    </xdr:from>
    <xdr:to>
      <xdr:col>25</xdr:col>
      <xdr:colOff>0</xdr:colOff>
      <xdr:row>29</xdr:row>
      <xdr:rowOff>76200</xdr:rowOff>
    </xdr:to>
    <xdr:sp macro="" textlink="">
      <xdr:nvSpPr>
        <xdr:cNvPr id="97" name="Line 2064"/>
        <xdr:cNvSpPr>
          <a:spLocks noChangeShapeType="1"/>
        </xdr:cNvSpPr>
      </xdr:nvSpPr>
      <xdr:spPr bwMode="auto">
        <a:xfrm>
          <a:off x="12220575" y="5381625"/>
          <a:ext cx="240982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20</xdr:col>
      <xdr:colOff>152400</xdr:colOff>
      <xdr:row>29</xdr:row>
      <xdr:rowOff>76200</xdr:rowOff>
    </xdr:from>
    <xdr:to>
      <xdr:col>22</xdr:col>
      <xdr:colOff>0</xdr:colOff>
      <xdr:row>33</xdr:row>
      <xdr:rowOff>76200</xdr:rowOff>
    </xdr:to>
    <xdr:sp macro="" textlink="">
      <xdr:nvSpPr>
        <xdr:cNvPr id="98" name="Line 2065"/>
        <xdr:cNvSpPr>
          <a:spLocks noChangeShapeType="1"/>
        </xdr:cNvSpPr>
      </xdr:nvSpPr>
      <xdr:spPr bwMode="auto">
        <a:xfrm flipV="1">
          <a:off x="11925300" y="5381625"/>
          <a:ext cx="295275" cy="7334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20</xdr:col>
      <xdr:colOff>0</xdr:colOff>
      <xdr:row>33</xdr:row>
      <xdr:rowOff>0</xdr:rowOff>
    </xdr:from>
    <xdr:to>
      <xdr:col>20</xdr:col>
      <xdr:colOff>152400</xdr:colOff>
      <xdr:row>33</xdr:row>
      <xdr:rowOff>152400</xdr:rowOff>
    </xdr:to>
    <xdr:sp macro="" textlink="">
      <xdr:nvSpPr>
        <xdr:cNvPr id="103" name="Circle Oval"/>
        <xdr:cNvSpPr/>
      </xdr:nvSpPr>
      <xdr:spPr>
        <a:xfrm>
          <a:off x="11772900" y="60388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33</xdr:row>
      <xdr:rowOff>76200</xdr:rowOff>
    </xdr:from>
    <xdr:to>
      <xdr:col>20</xdr:col>
      <xdr:colOff>0</xdr:colOff>
      <xdr:row>33</xdr:row>
      <xdr:rowOff>76200</xdr:rowOff>
    </xdr:to>
    <xdr:sp macro="" textlink="">
      <xdr:nvSpPr>
        <xdr:cNvPr id="104" name="Line 2069"/>
        <xdr:cNvSpPr>
          <a:spLocks noChangeShapeType="1"/>
        </xdr:cNvSpPr>
      </xdr:nvSpPr>
      <xdr:spPr bwMode="auto">
        <a:xfrm>
          <a:off x="9001125" y="6115050"/>
          <a:ext cx="27717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14</xdr:col>
      <xdr:colOff>152400</xdr:colOff>
      <xdr:row>33</xdr:row>
      <xdr:rowOff>76200</xdr:rowOff>
    </xdr:from>
    <xdr:to>
      <xdr:col>16</xdr:col>
      <xdr:colOff>0</xdr:colOff>
      <xdr:row>38</xdr:row>
      <xdr:rowOff>76200</xdr:rowOff>
    </xdr:to>
    <xdr:sp macro="" textlink="">
      <xdr:nvSpPr>
        <xdr:cNvPr id="105" name="Line 2070"/>
        <xdr:cNvSpPr>
          <a:spLocks noChangeShapeType="1"/>
        </xdr:cNvSpPr>
      </xdr:nvSpPr>
      <xdr:spPr bwMode="auto">
        <a:xfrm flipV="1">
          <a:off x="8705850" y="6115050"/>
          <a:ext cx="295275" cy="9144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0</xdr:col>
      <xdr:colOff>134471</xdr:colOff>
      <xdr:row>25</xdr:row>
      <xdr:rowOff>78442</xdr:rowOff>
    </xdr:from>
    <xdr:to>
      <xdr:col>2</xdr:col>
      <xdr:colOff>33621</xdr:colOff>
      <xdr:row>25</xdr:row>
      <xdr:rowOff>78442</xdr:rowOff>
    </xdr:to>
    <xdr:sp macro="" textlink="">
      <xdr:nvSpPr>
        <xdr:cNvPr id="110" name="Line 2073"/>
        <xdr:cNvSpPr>
          <a:spLocks noChangeShapeType="1"/>
        </xdr:cNvSpPr>
      </xdr:nvSpPr>
      <xdr:spPr bwMode="auto">
        <a:xfrm>
          <a:off x="134471" y="4616824"/>
          <a:ext cx="1658474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</xdr:col>
      <xdr:colOff>21166</xdr:colOff>
      <xdr:row>24</xdr:row>
      <xdr:rowOff>133049</xdr:rowOff>
    </xdr:from>
    <xdr:to>
      <xdr:col>3</xdr:col>
      <xdr:colOff>88901</xdr:colOff>
      <xdr:row>26</xdr:row>
      <xdr:rowOff>42335</xdr:rowOff>
    </xdr:to>
    <xdr:sp macro="" textlink="">
      <xdr:nvSpPr>
        <xdr:cNvPr id="109" name="Square Rectangle"/>
        <xdr:cNvSpPr/>
      </xdr:nvSpPr>
      <xdr:spPr>
        <a:xfrm>
          <a:off x="1788583" y="4503966"/>
          <a:ext cx="237068" cy="269119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54428</xdr:colOff>
      <xdr:row>16</xdr:row>
      <xdr:rowOff>136071</xdr:rowOff>
    </xdr:from>
    <xdr:to>
      <xdr:col>7</xdr:col>
      <xdr:colOff>40821</xdr:colOff>
      <xdr:row>16</xdr:row>
      <xdr:rowOff>136071</xdr:rowOff>
    </xdr:to>
    <xdr:sp macro="" textlink="">
      <xdr:nvSpPr>
        <xdr:cNvPr id="58" name="Line 2037"/>
        <xdr:cNvSpPr>
          <a:spLocks noChangeShapeType="1"/>
        </xdr:cNvSpPr>
      </xdr:nvSpPr>
      <xdr:spPr bwMode="auto">
        <a:xfrm>
          <a:off x="925285" y="2966357"/>
          <a:ext cx="155121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7</xdr:col>
      <xdr:colOff>79374</xdr:colOff>
      <xdr:row>3</xdr:row>
      <xdr:rowOff>76199</xdr:rowOff>
    </xdr:from>
    <xdr:to>
      <xdr:col>8</xdr:col>
      <xdr:colOff>275166</xdr:colOff>
      <xdr:row>16</xdr:row>
      <xdr:rowOff>153458</xdr:rowOff>
    </xdr:to>
    <xdr:sp macro="" textlink="">
      <xdr:nvSpPr>
        <xdr:cNvPr id="72" name="Line 2047"/>
        <xdr:cNvSpPr>
          <a:spLocks noChangeShapeType="1"/>
        </xdr:cNvSpPr>
      </xdr:nvSpPr>
      <xdr:spPr bwMode="auto">
        <a:xfrm flipV="1">
          <a:off x="3053291" y="615949"/>
          <a:ext cx="423333" cy="2416176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6</xdr:col>
      <xdr:colOff>97100</xdr:colOff>
      <xdr:row>16</xdr:row>
      <xdr:rowOff>63500</xdr:rowOff>
    </xdr:from>
    <xdr:to>
      <xdr:col>7</xdr:col>
      <xdr:colOff>84136</xdr:colOff>
      <xdr:row>17</xdr:row>
      <xdr:rowOff>35983</xdr:rowOff>
    </xdr:to>
    <xdr:sp macro="" textlink="">
      <xdr:nvSpPr>
        <xdr:cNvPr id="57" name="Circle Oval"/>
        <xdr:cNvSpPr/>
      </xdr:nvSpPr>
      <xdr:spPr>
        <a:xfrm>
          <a:off x="2906975" y="2921000"/>
          <a:ext cx="153723" cy="151077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0</xdr:colOff>
      <xdr:row>3</xdr:row>
      <xdr:rowOff>76200</xdr:rowOff>
    </xdr:from>
    <xdr:to>
      <xdr:col>12</xdr:col>
      <xdr:colOff>0</xdr:colOff>
      <xdr:row>3</xdr:row>
      <xdr:rowOff>76200</xdr:rowOff>
    </xdr:to>
    <xdr:sp macro="" textlink="">
      <xdr:nvSpPr>
        <xdr:cNvPr id="71" name="Line 2046"/>
        <xdr:cNvSpPr>
          <a:spLocks noChangeShapeType="1"/>
        </xdr:cNvSpPr>
      </xdr:nvSpPr>
      <xdr:spPr bwMode="auto">
        <a:xfrm>
          <a:off x="3495675" y="2438400"/>
          <a:ext cx="17811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0</xdr:colOff>
      <xdr:row>19</xdr:row>
      <xdr:rowOff>76200</xdr:rowOff>
    </xdr:from>
    <xdr:to>
      <xdr:col>12</xdr:col>
      <xdr:colOff>0</xdr:colOff>
      <xdr:row>19</xdr:row>
      <xdr:rowOff>76200</xdr:rowOff>
    </xdr:to>
    <xdr:sp macro="" textlink="">
      <xdr:nvSpPr>
        <xdr:cNvPr id="80" name="Line 2052"/>
        <xdr:cNvSpPr>
          <a:spLocks noChangeShapeType="1"/>
        </xdr:cNvSpPr>
      </xdr:nvSpPr>
      <xdr:spPr bwMode="auto">
        <a:xfrm>
          <a:off x="3495675" y="6962775"/>
          <a:ext cx="1781175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7</xdr:col>
      <xdr:colOff>84667</xdr:colOff>
      <xdr:row>16</xdr:row>
      <xdr:rowOff>158750</xdr:rowOff>
    </xdr:from>
    <xdr:to>
      <xdr:col>9</xdr:col>
      <xdr:colOff>1</xdr:colOff>
      <xdr:row>19</xdr:row>
      <xdr:rowOff>76200</xdr:rowOff>
    </xdr:to>
    <xdr:sp macro="" textlink="">
      <xdr:nvSpPr>
        <xdr:cNvPr id="81" name="Line 2053"/>
        <xdr:cNvSpPr>
          <a:spLocks noChangeShapeType="1"/>
        </xdr:cNvSpPr>
      </xdr:nvSpPr>
      <xdr:spPr bwMode="auto">
        <a:xfrm>
          <a:off x="3058584" y="3037417"/>
          <a:ext cx="418042" cy="478366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181840</xdr:colOff>
      <xdr:row>24</xdr:row>
      <xdr:rowOff>159461</xdr:rowOff>
    </xdr:from>
    <xdr:to>
      <xdr:col>17</xdr:col>
      <xdr:colOff>334240</xdr:colOff>
      <xdr:row>25</xdr:row>
      <xdr:rowOff>133269</xdr:rowOff>
    </xdr:to>
    <xdr:sp macro="" textlink="">
      <xdr:nvSpPr>
        <xdr:cNvPr id="88" name="Triangle Triangle"/>
        <xdr:cNvSpPr/>
      </xdr:nvSpPr>
      <xdr:spPr>
        <a:xfrm rot="16200000">
          <a:off x="8893767" y="4511823"/>
          <a:ext cx="154282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17</xdr:col>
      <xdr:colOff>173182</xdr:colOff>
      <xdr:row>18</xdr:row>
      <xdr:rowOff>199642</xdr:rowOff>
    </xdr:from>
    <xdr:to>
      <xdr:col>17</xdr:col>
      <xdr:colOff>325582</xdr:colOff>
      <xdr:row>19</xdr:row>
      <xdr:rowOff>146388</xdr:rowOff>
    </xdr:to>
    <xdr:sp macro="" textlink="">
      <xdr:nvSpPr>
        <xdr:cNvPr id="92" name="Triangle Triangle"/>
        <xdr:cNvSpPr/>
      </xdr:nvSpPr>
      <xdr:spPr>
        <a:xfrm rot="16200000">
          <a:off x="8885550" y="3435857"/>
          <a:ext cx="147829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1473868</xdr:colOff>
      <xdr:row>25</xdr:row>
      <xdr:rowOff>60157</xdr:rowOff>
    </xdr:from>
    <xdr:to>
      <xdr:col>17</xdr:col>
      <xdr:colOff>155408</xdr:colOff>
      <xdr:row>25</xdr:row>
      <xdr:rowOff>60158</xdr:rowOff>
    </xdr:to>
    <xdr:sp macro="" textlink="">
      <xdr:nvSpPr>
        <xdr:cNvPr id="93" name="Line 2061"/>
        <xdr:cNvSpPr>
          <a:spLocks noChangeShapeType="1"/>
        </xdr:cNvSpPr>
      </xdr:nvSpPr>
      <xdr:spPr bwMode="auto">
        <a:xfrm>
          <a:off x="6045868" y="4592052"/>
          <a:ext cx="2822408" cy="1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79376</xdr:colOff>
      <xdr:row>16</xdr:row>
      <xdr:rowOff>158749</xdr:rowOff>
    </xdr:from>
    <xdr:to>
      <xdr:col>9</xdr:col>
      <xdr:colOff>41672</xdr:colOff>
      <xdr:row>30</xdr:row>
      <xdr:rowOff>83343</xdr:rowOff>
    </xdr:to>
    <xdr:sp macro="" textlink="">
      <xdr:nvSpPr>
        <xdr:cNvPr id="95" name="Line 2063"/>
        <xdr:cNvSpPr>
          <a:spLocks noChangeShapeType="1"/>
        </xdr:cNvSpPr>
      </xdr:nvSpPr>
      <xdr:spPr bwMode="auto">
        <a:xfrm>
          <a:off x="3055939" y="3016249"/>
          <a:ext cx="462358" cy="2448719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174263</xdr:colOff>
      <xdr:row>30</xdr:row>
      <xdr:rowOff>4901</xdr:rowOff>
    </xdr:from>
    <xdr:to>
      <xdr:col>17</xdr:col>
      <xdr:colOff>326663</xdr:colOff>
      <xdr:row>30</xdr:row>
      <xdr:rowOff>159180</xdr:rowOff>
    </xdr:to>
    <xdr:sp macro="" textlink="">
      <xdr:nvSpPr>
        <xdr:cNvPr id="99" name="Triangle Triangle"/>
        <xdr:cNvSpPr/>
      </xdr:nvSpPr>
      <xdr:spPr>
        <a:xfrm rot="16200000">
          <a:off x="8886191" y="5440104"/>
          <a:ext cx="154279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35754</xdr:colOff>
      <xdr:row>30</xdr:row>
      <xdr:rowOff>84858</xdr:rowOff>
    </xdr:from>
    <xdr:to>
      <xdr:col>15</xdr:col>
      <xdr:colOff>300790</xdr:colOff>
      <xdr:row>30</xdr:row>
      <xdr:rowOff>85224</xdr:rowOff>
    </xdr:to>
    <xdr:sp macro="" textlink="">
      <xdr:nvSpPr>
        <xdr:cNvPr id="101" name="Line 2067"/>
        <xdr:cNvSpPr>
          <a:spLocks noChangeShapeType="1"/>
        </xdr:cNvSpPr>
      </xdr:nvSpPr>
      <xdr:spPr bwMode="auto">
        <a:xfrm>
          <a:off x="3509872" y="5519121"/>
          <a:ext cx="4230444" cy="366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43294</xdr:colOff>
      <xdr:row>25</xdr:row>
      <xdr:rowOff>60157</xdr:rowOff>
    </xdr:from>
    <xdr:to>
      <xdr:col>11</xdr:col>
      <xdr:colOff>1473867</xdr:colOff>
      <xdr:row>25</xdr:row>
      <xdr:rowOff>60612</xdr:rowOff>
    </xdr:to>
    <xdr:sp macro="" textlink="">
      <xdr:nvSpPr>
        <xdr:cNvPr id="107" name="Line 2071"/>
        <xdr:cNvSpPr>
          <a:spLocks noChangeShapeType="1"/>
        </xdr:cNvSpPr>
      </xdr:nvSpPr>
      <xdr:spPr bwMode="auto">
        <a:xfrm flipV="1">
          <a:off x="3517412" y="4592052"/>
          <a:ext cx="2528455" cy="45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7</xdr:col>
      <xdr:colOff>89958</xdr:colOff>
      <xdr:row>16</xdr:row>
      <xdr:rowOff>158750</xdr:rowOff>
    </xdr:from>
    <xdr:to>
      <xdr:col>9</xdr:col>
      <xdr:colOff>47625</xdr:colOff>
      <xdr:row>25</xdr:row>
      <xdr:rowOff>65485</xdr:rowOff>
    </xdr:to>
    <xdr:sp macro="" textlink="">
      <xdr:nvSpPr>
        <xdr:cNvPr id="108" name="Line 2072"/>
        <xdr:cNvSpPr>
          <a:spLocks noChangeShapeType="1"/>
        </xdr:cNvSpPr>
      </xdr:nvSpPr>
      <xdr:spPr bwMode="auto">
        <a:xfrm>
          <a:off x="3066521" y="3016250"/>
          <a:ext cx="457729" cy="1537891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</xdr:col>
      <xdr:colOff>693968</xdr:colOff>
      <xdr:row>16</xdr:row>
      <xdr:rowOff>0</xdr:rowOff>
    </xdr:from>
    <xdr:to>
      <xdr:col>2</xdr:col>
      <xdr:colOff>267044</xdr:colOff>
      <xdr:row>17</xdr:row>
      <xdr:rowOff>95250</xdr:rowOff>
    </xdr:to>
    <xdr:sp macro="" textlink="">
      <xdr:nvSpPr>
        <xdr:cNvPr id="109" name="Square Rectangle"/>
        <xdr:cNvSpPr/>
      </xdr:nvSpPr>
      <xdr:spPr>
        <a:xfrm>
          <a:off x="693968" y="2830286"/>
          <a:ext cx="274864" cy="272143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84665</xdr:colOff>
      <xdr:row>8</xdr:row>
      <xdr:rowOff>130968</xdr:rowOff>
    </xdr:from>
    <xdr:to>
      <xdr:col>9</xdr:col>
      <xdr:colOff>11906</xdr:colOff>
      <xdr:row>16</xdr:row>
      <xdr:rowOff>153455</xdr:rowOff>
    </xdr:to>
    <xdr:sp macro="" textlink="">
      <xdr:nvSpPr>
        <xdr:cNvPr id="111" name="Line 2015"/>
        <xdr:cNvSpPr>
          <a:spLocks noChangeShapeType="1"/>
        </xdr:cNvSpPr>
      </xdr:nvSpPr>
      <xdr:spPr bwMode="auto">
        <a:xfrm flipV="1">
          <a:off x="3061228" y="1559718"/>
          <a:ext cx="427303" cy="1451237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7</xdr:col>
      <xdr:colOff>74083</xdr:colOff>
      <xdr:row>14</xdr:row>
      <xdr:rowOff>100542</xdr:rowOff>
    </xdr:from>
    <xdr:to>
      <xdr:col>9</xdr:col>
      <xdr:colOff>0</xdr:colOff>
      <xdr:row>16</xdr:row>
      <xdr:rowOff>158750</xdr:rowOff>
    </xdr:to>
    <xdr:sp macro="" textlink="">
      <xdr:nvSpPr>
        <xdr:cNvPr id="113" name="Line 2007"/>
        <xdr:cNvSpPr>
          <a:spLocks noChangeShapeType="1"/>
        </xdr:cNvSpPr>
      </xdr:nvSpPr>
      <xdr:spPr bwMode="auto">
        <a:xfrm flipV="1">
          <a:off x="3048000" y="2619375"/>
          <a:ext cx="428625" cy="418042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4763</xdr:colOff>
      <xdr:row>8</xdr:row>
      <xdr:rowOff>130967</xdr:rowOff>
    </xdr:from>
    <xdr:to>
      <xdr:col>11</xdr:col>
      <xdr:colOff>1524000</xdr:colOff>
      <xdr:row>8</xdr:row>
      <xdr:rowOff>130969</xdr:rowOff>
    </xdr:to>
    <xdr:sp macro="" textlink="">
      <xdr:nvSpPr>
        <xdr:cNvPr id="112" name="Line 2014"/>
        <xdr:cNvSpPr>
          <a:spLocks noChangeShapeType="1"/>
        </xdr:cNvSpPr>
      </xdr:nvSpPr>
      <xdr:spPr bwMode="auto">
        <a:xfrm>
          <a:off x="3481388" y="1559717"/>
          <a:ext cx="2614612" cy="2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15</xdr:col>
      <xdr:colOff>325856</xdr:colOff>
      <xdr:row>30</xdr:row>
      <xdr:rowOff>85224</xdr:rowOff>
    </xdr:from>
    <xdr:to>
      <xdr:col>17</xdr:col>
      <xdr:colOff>180474</xdr:colOff>
      <xdr:row>30</xdr:row>
      <xdr:rowOff>85224</xdr:rowOff>
    </xdr:to>
    <xdr:sp macro="" textlink="">
      <xdr:nvSpPr>
        <xdr:cNvPr id="116" name="Line 2061"/>
        <xdr:cNvSpPr>
          <a:spLocks noChangeShapeType="1"/>
        </xdr:cNvSpPr>
      </xdr:nvSpPr>
      <xdr:spPr bwMode="auto">
        <a:xfrm flipV="1">
          <a:off x="7765382" y="5519487"/>
          <a:ext cx="1127960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269875</xdr:colOff>
      <xdr:row>14</xdr:row>
      <xdr:rowOff>99392</xdr:rowOff>
    </xdr:from>
    <xdr:to>
      <xdr:col>15</xdr:col>
      <xdr:colOff>265042</xdr:colOff>
      <xdr:row>14</xdr:row>
      <xdr:rowOff>100542</xdr:rowOff>
    </xdr:to>
    <xdr:sp macro="" textlink="">
      <xdr:nvSpPr>
        <xdr:cNvPr id="114" name="Line 2006"/>
        <xdr:cNvSpPr>
          <a:spLocks noChangeShapeType="1"/>
        </xdr:cNvSpPr>
      </xdr:nvSpPr>
      <xdr:spPr bwMode="auto">
        <a:xfrm flipV="1">
          <a:off x="3471333" y="2618225"/>
          <a:ext cx="4228501" cy="11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12</xdr:col>
      <xdr:colOff>1</xdr:colOff>
      <xdr:row>19</xdr:row>
      <xdr:rowOff>71764</xdr:rowOff>
    </xdr:from>
    <xdr:to>
      <xdr:col>17</xdr:col>
      <xdr:colOff>147205</xdr:colOff>
      <xdr:row>19</xdr:row>
      <xdr:rowOff>75661</xdr:rowOff>
    </xdr:to>
    <xdr:sp macro="" textlink="">
      <xdr:nvSpPr>
        <xdr:cNvPr id="117" name="Line 2061"/>
        <xdr:cNvSpPr>
          <a:spLocks noChangeShapeType="1"/>
        </xdr:cNvSpPr>
      </xdr:nvSpPr>
      <xdr:spPr bwMode="auto">
        <a:xfrm>
          <a:off x="6143626" y="3511347"/>
          <a:ext cx="2713662" cy="3897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285750</xdr:colOff>
      <xdr:row>14</xdr:row>
      <xdr:rowOff>95250</xdr:rowOff>
    </xdr:from>
    <xdr:to>
      <xdr:col>17</xdr:col>
      <xdr:colOff>181841</xdr:colOff>
      <xdr:row>14</xdr:row>
      <xdr:rowOff>95251</xdr:rowOff>
    </xdr:to>
    <xdr:sp macro="" textlink="">
      <xdr:nvSpPr>
        <xdr:cNvPr id="118" name="Line 2061"/>
        <xdr:cNvSpPr>
          <a:spLocks noChangeShapeType="1"/>
        </xdr:cNvSpPr>
      </xdr:nvSpPr>
      <xdr:spPr bwMode="auto">
        <a:xfrm>
          <a:off x="7715250" y="2595563"/>
          <a:ext cx="1170060" cy="1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178377</xdr:colOff>
      <xdr:row>14</xdr:row>
      <xdr:rowOff>15781</xdr:rowOff>
    </xdr:from>
    <xdr:to>
      <xdr:col>17</xdr:col>
      <xdr:colOff>330777</xdr:colOff>
      <xdr:row>14</xdr:row>
      <xdr:rowOff>168181</xdr:rowOff>
    </xdr:to>
    <xdr:sp macro="" textlink="">
      <xdr:nvSpPr>
        <xdr:cNvPr id="119" name="Triangle Triangle"/>
        <xdr:cNvSpPr/>
      </xdr:nvSpPr>
      <xdr:spPr>
        <a:xfrm rot="16200000">
          <a:off x="8888460" y="2534614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1535906</xdr:colOff>
      <xdr:row>8</xdr:row>
      <xdr:rowOff>130969</xdr:rowOff>
    </xdr:from>
    <xdr:to>
      <xdr:col>17</xdr:col>
      <xdr:colOff>148167</xdr:colOff>
      <xdr:row>8</xdr:row>
      <xdr:rowOff>132292</xdr:rowOff>
    </xdr:to>
    <xdr:sp macro="" textlink="">
      <xdr:nvSpPr>
        <xdr:cNvPr id="120" name="Line 2061"/>
        <xdr:cNvSpPr>
          <a:spLocks noChangeShapeType="1"/>
        </xdr:cNvSpPr>
      </xdr:nvSpPr>
      <xdr:spPr bwMode="auto">
        <a:xfrm>
          <a:off x="6107906" y="1570302"/>
          <a:ext cx="2750344" cy="1323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1559719</xdr:colOff>
      <xdr:row>3</xdr:row>
      <xdr:rowOff>74786</xdr:rowOff>
    </xdr:from>
    <xdr:to>
      <xdr:col>17</xdr:col>
      <xdr:colOff>173187</xdr:colOff>
      <xdr:row>3</xdr:row>
      <xdr:rowOff>76729</xdr:rowOff>
    </xdr:to>
    <xdr:sp macro="" textlink="">
      <xdr:nvSpPr>
        <xdr:cNvPr id="122" name="Line 2061"/>
        <xdr:cNvSpPr>
          <a:spLocks noChangeShapeType="1"/>
        </xdr:cNvSpPr>
      </xdr:nvSpPr>
      <xdr:spPr bwMode="auto">
        <a:xfrm flipV="1">
          <a:off x="6131719" y="614536"/>
          <a:ext cx="2751551" cy="1943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17</xdr:col>
      <xdr:colOff>169732</xdr:colOff>
      <xdr:row>8</xdr:row>
      <xdr:rowOff>51837</xdr:rowOff>
    </xdr:from>
    <xdr:to>
      <xdr:col>17</xdr:col>
      <xdr:colOff>322132</xdr:colOff>
      <xdr:row>9</xdr:row>
      <xdr:rowOff>22397</xdr:rowOff>
    </xdr:to>
    <xdr:sp macro="" textlink="">
      <xdr:nvSpPr>
        <xdr:cNvPr id="121" name="Triangle Triangle"/>
        <xdr:cNvSpPr/>
      </xdr:nvSpPr>
      <xdr:spPr>
        <a:xfrm rot="16200000">
          <a:off x="8880776" y="1490209"/>
          <a:ext cx="150477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17</xdr:col>
      <xdr:colOff>169723</xdr:colOff>
      <xdr:row>2</xdr:row>
      <xdr:rowOff>177158</xdr:rowOff>
    </xdr:from>
    <xdr:to>
      <xdr:col>17</xdr:col>
      <xdr:colOff>322123</xdr:colOff>
      <xdr:row>3</xdr:row>
      <xdr:rowOff>147718</xdr:rowOff>
    </xdr:to>
    <xdr:sp macro="" textlink="">
      <xdr:nvSpPr>
        <xdr:cNvPr id="123" name="Triangle Triangle"/>
        <xdr:cNvSpPr/>
      </xdr:nvSpPr>
      <xdr:spPr>
        <a:xfrm rot="16200000">
          <a:off x="8880767" y="536030"/>
          <a:ext cx="150477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7</xdr:row>
      <xdr:rowOff>0</xdr:rowOff>
    </xdr:from>
    <xdr:to>
      <xdr:col>21</xdr:col>
      <xdr:colOff>152400</xdr:colOff>
      <xdr:row>7</xdr:row>
      <xdr:rowOff>152400</xdr:rowOff>
    </xdr:to>
    <xdr:sp macro="" textlink="">
      <xdr:nvSpPr>
        <xdr:cNvPr id="2" name="Triangle Triangle"/>
        <xdr:cNvSpPr/>
      </xdr:nvSpPr>
      <xdr:spPr>
        <a:xfrm rot="16200000">
          <a:off x="11458575" y="14001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7</xdr:row>
      <xdr:rowOff>76200</xdr:rowOff>
    </xdr:from>
    <xdr:to>
      <xdr:col>21</xdr:col>
      <xdr:colOff>0</xdr:colOff>
      <xdr:row>7</xdr:row>
      <xdr:rowOff>76200</xdr:rowOff>
    </xdr:to>
    <xdr:sp macro="" textlink="">
      <xdr:nvSpPr>
        <xdr:cNvPr id="3" name="Line 1998"/>
        <xdr:cNvSpPr>
          <a:spLocks noChangeShapeType="1"/>
        </xdr:cNvSpPr>
      </xdr:nvSpPr>
      <xdr:spPr bwMode="auto">
        <a:xfrm>
          <a:off x="9782175" y="14763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4</xdr:row>
      <xdr:rowOff>76200</xdr:rowOff>
    </xdr:from>
    <xdr:to>
      <xdr:col>19</xdr:col>
      <xdr:colOff>0</xdr:colOff>
      <xdr:row>7</xdr:row>
      <xdr:rowOff>76200</xdr:rowOff>
    </xdr:to>
    <xdr:sp macro="" textlink="">
      <xdr:nvSpPr>
        <xdr:cNvPr id="4" name="Line 1999"/>
        <xdr:cNvSpPr>
          <a:spLocks noChangeShapeType="1"/>
        </xdr:cNvSpPr>
      </xdr:nvSpPr>
      <xdr:spPr bwMode="auto">
        <a:xfrm>
          <a:off x="9486900" y="876300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2</xdr:row>
      <xdr:rowOff>0</xdr:rowOff>
    </xdr:from>
    <xdr:to>
      <xdr:col>21</xdr:col>
      <xdr:colOff>152400</xdr:colOff>
      <xdr:row>2</xdr:row>
      <xdr:rowOff>152400</xdr:rowOff>
    </xdr:to>
    <xdr:sp macro="" textlink="">
      <xdr:nvSpPr>
        <xdr:cNvPr id="5" name="Triangle Triangle"/>
        <xdr:cNvSpPr/>
      </xdr:nvSpPr>
      <xdr:spPr>
        <a:xfrm rot="16200000">
          <a:off x="11458575" y="4000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2</xdr:row>
      <xdr:rowOff>76200</xdr:rowOff>
    </xdr:from>
    <xdr:to>
      <xdr:col>21</xdr:col>
      <xdr:colOff>0</xdr:colOff>
      <xdr:row>2</xdr:row>
      <xdr:rowOff>76200</xdr:rowOff>
    </xdr:to>
    <xdr:sp macro="" textlink="">
      <xdr:nvSpPr>
        <xdr:cNvPr id="6" name="Line 2000"/>
        <xdr:cNvSpPr>
          <a:spLocks noChangeShapeType="1"/>
        </xdr:cNvSpPr>
      </xdr:nvSpPr>
      <xdr:spPr bwMode="auto">
        <a:xfrm>
          <a:off x="9782175" y="4762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2</xdr:row>
      <xdr:rowOff>76200</xdr:rowOff>
    </xdr:from>
    <xdr:to>
      <xdr:col>19</xdr:col>
      <xdr:colOff>0</xdr:colOff>
      <xdr:row>4</xdr:row>
      <xdr:rowOff>76200</xdr:rowOff>
    </xdr:to>
    <xdr:sp macro="" textlink="">
      <xdr:nvSpPr>
        <xdr:cNvPr id="7" name="Line 2001"/>
        <xdr:cNvSpPr>
          <a:spLocks noChangeShapeType="1"/>
        </xdr:cNvSpPr>
      </xdr:nvSpPr>
      <xdr:spPr bwMode="auto">
        <a:xfrm flipV="1">
          <a:off x="9486900" y="476250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17</xdr:row>
      <xdr:rowOff>0</xdr:rowOff>
    </xdr:from>
    <xdr:to>
      <xdr:col>17</xdr:col>
      <xdr:colOff>152400</xdr:colOff>
      <xdr:row>17</xdr:row>
      <xdr:rowOff>152400</xdr:rowOff>
    </xdr:to>
    <xdr:sp macro="" textlink="">
      <xdr:nvSpPr>
        <xdr:cNvPr id="8" name="Triangle Triangle"/>
        <xdr:cNvSpPr/>
      </xdr:nvSpPr>
      <xdr:spPr>
        <a:xfrm rot="16200000">
          <a:off x="9334500" y="34004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17</xdr:row>
      <xdr:rowOff>76200</xdr:rowOff>
    </xdr:from>
    <xdr:to>
      <xdr:col>21</xdr:col>
      <xdr:colOff>0</xdr:colOff>
      <xdr:row>17</xdr:row>
      <xdr:rowOff>76200</xdr:rowOff>
    </xdr:to>
    <xdr:sp macro="" textlink="">
      <xdr:nvSpPr>
        <xdr:cNvPr id="9" name="Line 2002"/>
        <xdr:cNvSpPr>
          <a:spLocks noChangeShapeType="1"/>
        </xdr:cNvSpPr>
      </xdr:nvSpPr>
      <xdr:spPr bwMode="auto">
        <a:xfrm>
          <a:off x="9486900" y="3476625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17</xdr:row>
      <xdr:rowOff>76200</xdr:rowOff>
    </xdr:from>
    <xdr:to>
      <xdr:col>17</xdr:col>
      <xdr:colOff>0</xdr:colOff>
      <xdr:row>17</xdr:row>
      <xdr:rowOff>76200</xdr:rowOff>
    </xdr:to>
    <xdr:sp macro="" textlink="">
      <xdr:nvSpPr>
        <xdr:cNvPr id="10" name="Line 2003"/>
        <xdr:cNvSpPr>
          <a:spLocks noChangeShapeType="1"/>
        </xdr:cNvSpPr>
      </xdr:nvSpPr>
      <xdr:spPr bwMode="auto">
        <a:xfrm>
          <a:off x="7658100" y="34766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17</xdr:row>
      <xdr:rowOff>76200</xdr:rowOff>
    </xdr:from>
    <xdr:to>
      <xdr:col>15</xdr:col>
      <xdr:colOff>0</xdr:colOff>
      <xdr:row>19</xdr:row>
      <xdr:rowOff>76200</xdr:rowOff>
    </xdr:to>
    <xdr:sp macro="" textlink="">
      <xdr:nvSpPr>
        <xdr:cNvPr id="11" name="Line 2004"/>
        <xdr:cNvSpPr>
          <a:spLocks noChangeShapeType="1"/>
        </xdr:cNvSpPr>
      </xdr:nvSpPr>
      <xdr:spPr bwMode="auto">
        <a:xfrm flipV="1">
          <a:off x="7362825" y="3476625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152400</xdr:colOff>
      <xdr:row>12</xdr:row>
      <xdr:rowOff>152400</xdr:rowOff>
    </xdr:to>
    <xdr:sp macro="" textlink="">
      <xdr:nvSpPr>
        <xdr:cNvPr id="12" name="Triangle Triangle"/>
        <xdr:cNvSpPr/>
      </xdr:nvSpPr>
      <xdr:spPr>
        <a:xfrm rot="16200000">
          <a:off x="9334500" y="24003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12</xdr:row>
      <xdr:rowOff>76200</xdr:rowOff>
    </xdr:from>
    <xdr:to>
      <xdr:col>21</xdr:col>
      <xdr:colOff>0</xdr:colOff>
      <xdr:row>12</xdr:row>
      <xdr:rowOff>76200</xdr:rowOff>
    </xdr:to>
    <xdr:sp macro="" textlink="">
      <xdr:nvSpPr>
        <xdr:cNvPr id="13" name="Line 2005"/>
        <xdr:cNvSpPr>
          <a:spLocks noChangeShapeType="1"/>
        </xdr:cNvSpPr>
      </xdr:nvSpPr>
      <xdr:spPr bwMode="auto">
        <a:xfrm>
          <a:off x="9486900" y="2476500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12</xdr:row>
      <xdr:rowOff>76200</xdr:rowOff>
    </xdr:from>
    <xdr:to>
      <xdr:col>17</xdr:col>
      <xdr:colOff>0</xdr:colOff>
      <xdr:row>12</xdr:row>
      <xdr:rowOff>76200</xdr:rowOff>
    </xdr:to>
    <xdr:sp macro="" textlink="">
      <xdr:nvSpPr>
        <xdr:cNvPr id="14" name="Line 2006"/>
        <xdr:cNvSpPr>
          <a:spLocks noChangeShapeType="1"/>
        </xdr:cNvSpPr>
      </xdr:nvSpPr>
      <xdr:spPr bwMode="auto">
        <a:xfrm>
          <a:off x="7658100" y="24765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8</xdr:row>
      <xdr:rowOff>76200</xdr:rowOff>
    </xdr:from>
    <xdr:to>
      <xdr:col>15</xdr:col>
      <xdr:colOff>0</xdr:colOff>
      <xdr:row>12</xdr:row>
      <xdr:rowOff>76200</xdr:rowOff>
    </xdr:to>
    <xdr:sp macro="" textlink="">
      <xdr:nvSpPr>
        <xdr:cNvPr id="15" name="Line 2007"/>
        <xdr:cNvSpPr>
          <a:spLocks noChangeShapeType="1"/>
        </xdr:cNvSpPr>
      </xdr:nvSpPr>
      <xdr:spPr bwMode="auto">
        <a:xfrm>
          <a:off x="7362825" y="1676400"/>
          <a:ext cx="295275" cy="8001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152400</xdr:colOff>
      <xdr:row>82</xdr:row>
      <xdr:rowOff>152400</xdr:rowOff>
    </xdr:to>
    <xdr:sp macro="" textlink="">
      <xdr:nvSpPr>
        <xdr:cNvPr id="16" name="Triangle Triangle"/>
        <xdr:cNvSpPr/>
      </xdr:nvSpPr>
      <xdr:spPr>
        <a:xfrm rot="16200000">
          <a:off x="7210425" y="164020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152400</xdr:colOff>
      <xdr:row>82</xdr:row>
      <xdr:rowOff>76200</xdr:rowOff>
    </xdr:from>
    <xdr:to>
      <xdr:col>21</xdr:col>
      <xdr:colOff>0</xdr:colOff>
      <xdr:row>82</xdr:row>
      <xdr:rowOff>76200</xdr:rowOff>
    </xdr:to>
    <xdr:sp macro="" textlink="">
      <xdr:nvSpPr>
        <xdr:cNvPr id="17" name="Line 2008"/>
        <xdr:cNvSpPr>
          <a:spLocks noChangeShapeType="1"/>
        </xdr:cNvSpPr>
      </xdr:nvSpPr>
      <xdr:spPr bwMode="auto">
        <a:xfrm>
          <a:off x="7362825" y="16478250"/>
          <a:ext cx="4095750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82</xdr:row>
      <xdr:rowOff>76200</xdr:rowOff>
    </xdr:from>
    <xdr:to>
      <xdr:col>13</xdr:col>
      <xdr:colOff>0</xdr:colOff>
      <xdr:row>82</xdr:row>
      <xdr:rowOff>76200</xdr:rowOff>
    </xdr:to>
    <xdr:sp macro="" textlink="">
      <xdr:nvSpPr>
        <xdr:cNvPr id="18" name="Line 2009"/>
        <xdr:cNvSpPr>
          <a:spLocks noChangeShapeType="1"/>
        </xdr:cNvSpPr>
      </xdr:nvSpPr>
      <xdr:spPr bwMode="auto">
        <a:xfrm>
          <a:off x="5534025" y="164782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79</xdr:row>
      <xdr:rowOff>76200</xdr:rowOff>
    </xdr:from>
    <xdr:to>
      <xdr:col>11</xdr:col>
      <xdr:colOff>0</xdr:colOff>
      <xdr:row>82</xdr:row>
      <xdr:rowOff>76200</xdr:rowOff>
    </xdr:to>
    <xdr:sp macro="" textlink="">
      <xdr:nvSpPr>
        <xdr:cNvPr id="19" name="Line 2010"/>
        <xdr:cNvSpPr>
          <a:spLocks noChangeShapeType="1"/>
        </xdr:cNvSpPr>
      </xdr:nvSpPr>
      <xdr:spPr bwMode="auto">
        <a:xfrm>
          <a:off x="5238750" y="15878175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152400</xdr:colOff>
      <xdr:row>77</xdr:row>
      <xdr:rowOff>152400</xdr:rowOff>
    </xdr:to>
    <xdr:sp macro="" textlink="">
      <xdr:nvSpPr>
        <xdr:cNvPr id="20" name="Triangle Triangle"/>
        <xdr:cNvSpPr/>
      </xdr:nvSpPr>
      <xdr:spPr>
        <a:xfrm rot="16200000">
          <a:off x="7210425" y="154019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152400</xdr:colOff>
      <xdr:row>77</xdr:row>
      <xdr:rowOff>76200</xdr:rowOff>
    </xdr:from>
    <xdr:to>
      <xdr:col>21</xdr:col>
      <xdr:colOff>0</xdr:colOff>
      <xdr:row>77</xdr:row>
      <xdr:rowOff>76200</xdr:rowOff>
    </xdr:to>
    <xdr:sp macro="" textlink="">
      <xdr:nvSpPr>
        <xdr:cNvPr id="21" name="Line 2011"/>
        <xdr:cNvSpPr>
          <a:spLocks noChangeShapeType="1"/>
        </xdr:cNvSpPr>
      </xdr:nvSpPr>
      <xdr:spPr bwMode="auto">
        <a:xfrm>
          <a:off x="7362825" y="15478125"/>
          <a:ext cx="4095750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77</xdr:row>
      <xdr:rowOff>76200</xdr:rowOff>
    </xdr:from>
    <xdr:to>
      <xdr:col>13</xdr:col>
      <xdr:colOff>0</xdr:colOff>
      <xdr:row>77</xdr:row>
      <xdr:rowOff>76200</xdr:rowOff>
    </xdr:to>
    <xdr:sp macro="" textlink="">
      <xdr:nvSpPr>
        <xdr:cNvPr id="22" name="Line 2012"/>
        <xdr:cNvSpPr>
          <a:spLocks noChangeShapeType="1"/>
        </xdr:cNvSpPr>
      </xdr:nvSpPr>
      <xdr:spPr bwMode="auto">
        <a:xfrm>
          <a:off x="5534025" y="154781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77</xdr:row>
      <xdr:rowOff>76200</xdr:rowOff>
    </xdr:from>
    <xdr:to>
      <xdr:col>11</xdr:col>
      <xdr:colOff>0</xdr:colOff>
      <xdr:row>79</xdr:row>
      <xdr:rowOff>76200</xdr:rowOff>
    </xdr:to>
    <xdr:sp macro="" textlink="">
      <xdr:nvSpPr>
        <xdr:cNvPr id="23" name="Line 2013"/>
        <xdr:cNvSpPr>
          <a:spLocks noChangeShapeType="1"/>
        </xdr:cNvSpPr>
      </xdr:nvSpPr>
      <xdr:spPr bwMode="auto">
        <a:xfrm flipV="1">
          <a:off x="5238750" y="15478125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4</xdr:row>
      <xdr:rowOff>0</xdr:rowOff>
    </xdr:from>
    <xdr:to>
      <xdr:col>17</xdr:col>
      <xdr:colOff>152400</xdr:colOff>
      <xdr:row>4</xdr:row>
      <xdr:rowOff>152400</xdr:rowOff>
    </xdr:to>
    <xdr:sp macro="" textlink="">
      <xdr:nvSpPr>
        <xdr:cNvPr id="24" name="Circle Oval"/>
        <xdr:cNvSpPr/>
      </xdr:nvSpPr>
      <xdr:spPr>
        <a:xfrm>
          <a:off x="9334500" y="8001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4</xdr:row>
      <xdr:rowOff>76200</xdr:rowOff>
    </xdr:from>
    <xdr:to>
      <xdr:col>17</xdr:col>
      <xdr:colOff>0</xdr:colOff>
      <xdr:row>4</xdr:row>
      <xdr:rowOff>76200</xdr:rowOff>
    </xdr:to>
    <xdr:sp macro="" textlink="">
      <xdr:nvSpPr>
        <xdr:cNvPr id="25" name="Line 2014"/>
        <xdr:cNvSpPr>
          <a:spLocks noChangeShapeType="1"/>
        </xdr:cNvSpPr>
      </xdr:nvSpPr>
      <xdr:spPr bwMode="auto">
        <a:xfrm>
          <a:off x="7658100" y="8763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4</xdr:row>
      <xdr:rowOff>76200</xdr:rowOff>
    </xdr:from>
    <xdr:to>
      <xdr:col>15</xdr:col>
      <xdr:colOff>0</xdr:colOff>
      <xdr:row>8</xdr:row>
      <xdr:rowOff>76200</xdr:rowOff>
    </xdr:to>
    <xdr:sp macro="" textlink="">
      <xdr:nvSpPr>
        <xdr:cNvPr id="26" name="Line 2015"/>
        <xdr:cNvSpPr>
          <a:spLocks noChangeShapeType="1"/>
        </xdr:cNvSpPr>
      </xdr:nvSpPr>
      <xdr:spPr bwMode="auto">
        <a:xfrm flipV="1">
          <a:off x="7362825" y="876300"/>
          <a:ext cx="295275" cy="8001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152400</xdr:colOff>
      <xdr:row>71</xdr:row>
      <xdr:rowOff>152400</xdr:rowOff>
    </xdr:to>
    <xdr:sp macro="" textlink="">
      <xdr:nvSpPr>
        <xdr:cNvPr id="27" name="Circle Oval"/>
        <xdr:cNvSpPr/>
      </xdr:nvSpPr>
      <xdr:spPr>
        <a:xfrm>
          <a:off x="2962275" y="142017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71</xdr:row>
      <xdr:rowOff>76200</xdr:rowOff>
    </xdr:from>
    <xdr:to>
      <xdr:col>5</xdr:col>
      <xdr:colOff>0</xdr:colOff>
      <xdr:row>71</xdr:row>
      <xdr:rowOff>76200</xdr:rowOff>
    </xdr:to>
    <xdr:sp macro="" textlink="">
      <xdr:nvSpPr>
        <xdr:cNvPr id="28" name="Line 2016"/>
        <xdr:cNvSpPr>
          <a:spLocks noChangeShapeType="1"/>
        </xdr:cNvSpPr>
      </xdr:nvSpPr>
      <xdr:spPr bwMode="auto">
        <a:xfrm>
          <a:off x="1285875" y="142779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</xdr:col>
      <xdr:colOff>152400</xdr:colOff>
      <xdr:row>48</xdr:row>
      <xdr:rowOff>76200</xdr:rowOff>
    </xdr:from>
    <xdr:to>
      <xdr:col>3</xdr:col>
      <xdr:colOff>0</xdr:colOff>
      <xdr:row>71</xdr:row>
      <xdr:rowOff>76200</xdr:rowOff>
    </xdr:to>
    <xdr:sp macro="" textlink="">
      <xdr:nvSpPr>
        <xdr:cNvPr id="29" name="Line 2017"/>
        <xdr:cNvSpPr>
          <a:spLocks noChangeShapeType="1"/>
        </xdr:cNvSpPr>
      </xdr:nvSpPr>
      <xdr:spPr bwMode="auto">
        <a:xfrm>
          <a:off x="990600" y="9677400"/>
          <a:ext cx="295275" cy="46005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72</xdr:row>
      <xdr:rowOff>0</xdr:rowOff>
    </xdr:from>
    <xdr:to>
      <xdr:col>17</xdr:col>
      <xdr:colOff>152400</xdr:colOff>
      <xdr:row>72</xdr:row>
      <xdr:rowOff>152400</xdr:rowOff>
    </xdr:to>
    <xdr:sp macro="" textlink="">
      <xdr:nvSpPr>
        <xdr:cNvPr id="30" name="Triangle Triangle"/>
        <xdr:cNvSpPr/>
      </xdr:nvSpPr>
      <xdr:spPr>
        <a:xfrm rot="16200000">
          <a:off x="9334500" y="144018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72</xdr:row>
      <xdr:rowOff>76200</xdr:rowOff>
    </xdr:from>
    <xdr:to>
      <xdr:col>21</xdr:col>
      <xdr:colOff>0</xdr:colOff>
      <xdr:row>72</xdr:row>
      <xdr:rowOff>76200</xdr:rowOff>
    </xdr:to>
    <xdr:sp macro="" textlink="">
      <xdr:nvSpPr>
        <xdr:cNvPr id="31" name="Line 2018"/>
        <xdr:cNvSpPr>
          <a:spLocks noChangeShapeType="1"/>
        </xdr:cNvSpPr>
      </xdr:nvSpPr>
      <xdr:spPr bwMode="auto">
        <a:xfrm>
          <a:off x="9486900" y="14478000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72</xdr:row>
      <xdr:rowOff>76200</xdr:rowOff>
    </xdr:from>
    <xdr:to>
      <xdr:col>17</xdr:col>
      <xdr:colOff>0</xdr:colOff>
      <xdr:row>72</xdr:row>
      <xdr:rowOff>76200</xdr:rowOff>
    </xdr:to>
    <xdr:sp macro="" textlink="">
      <xdr:nvSpPr>
        <xdr:cNvPr id="32" name="Line 2019"/>
        <xdr:cNvSpPr>
          <a:spLocks noChangeShapeType="1"/>
        </xdr:cNvSpPr>
      </xdr:nvSpPr>
      <xdr:spPr bwMode="auto">
        <a:xfrm>
          <a:off x="7658100" y="144780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69</xdr:row>
      <xdr:rowOff>76200</xdr:rowOff>
    </xdr:from>
    <xdr:to>
      <xdr:col>15</xdr:col>
      <xdr:colOff>0</xdr:colOff>
      <xdr:row>72</xdr:row>
      <xdr:rowOff>76200</xdr:rowOff>
    </xdr:to>
    <xdr:sp macro="" textlink="">
      <xdr:nvSpPr>
        <xdr:cNvPr id="33" name="Line 2020"/>
        <xdr:cNvSpPr>
          <a:spLocks noChangeShapeType="1"/>
        </xdr:cNvSpPr>
      </xdr:nvSpPr>
      <xdr:spPr bwMode="auto">
        <a:xfrm>
          <a:off x="7362825" y="13877925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67</xdr:row>
      <xdr:rowOff>0</xdr:rowOff>
    </xdr:from>
    <xdr:to>
      <xdr:col>17</xdr:col>
      <xdr:colOff>152400</xdr:colOff>
      <xdr:row>67</xdr:row>
      <xdr:rowOff>152400</xdr:rowOff>
    </xdr:to>
    <xdr:sp macro="" textlink="">
      <xdr:nvSpPr>
        <xdr:cNvPr id="34" name="Triangle Triangle"/>
        <xdr:cNvSpPr/>
      </xdr:nvSpPr>
      <xdr:spPr>
        <a:xfrm rot="16200000">
          <a:off x="9334500" y="134016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67</xdr:row>
      <xdr:rowOff>76200</xdr:rowOff>
    </xdr:from>
    <xdr:to>
      <xdr:col>21</xdr:col>
      <xdr:colOff>0</xdr:colOff>
      <xdr:row>67</xdr:row>
      <xdr:rowOff>76200</xdr:rowOff>
    </xdr:to>
    <xdr:sp macro="" textlink="">
      <xdr:nvSpPr>
        <xdr:cNvPr id="35" name="Line 2021"/>
        <xdr:cNvSpPr>
          <a:spLocks noChangeShapeType="1"/>
        </xdr:cNvSpPr>
      </xdr:nvSpPr>
      <xdr:spPr bwMode="auto">
        <a:xfrm>
          <a:off x="9486900" y="13477875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67</xdr:row>
      <xdr:rowOff>76200</xdr:rowOff>
    </xdr:from>
    <xdr:to>
      <xdr:col>17</xdr:col>
      <xdr:colOff>0</xdr:colOff>
      <xdr:row>67</xdr:row>
      <xdr:rowOff>76200</xdr:rowOff>
    </xdr:to>
    <xdr:sp macro="" textlink="">
      <xdr:nvSpPr>
        <xdr:cNvPr id="36" name="Line 2022"/>
        <xdr:cNvSpPr>
          <a:spLocks noChangeShapeType="1"/>
        </xdr:cNvSpPr>
      </xdr:nvSpPr>
      <xdr:spPr bwMode="auto">
        <a:xfrm>
          <a:off x="7658100" y="134778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67</xdr:row>
      <xdr:rowOff>76200</xdr:rowOff>
    </xdr:from>
    <xdr:to>
      <xdr:col>15</xdr:col>
      <xdr:colOff>0</xdr:colOff>
      <xdr:row>69</xdr:row>
      <xdr:rowOff>76200</xdr:rowOff>
    </xdr:to>
    <xdr:sp macro="" textlink="">
      <xdr:nvSpPr>
        <xdr:cNvPr id="37" name="Line 2023"/>
        <xdr:cNvSpPr>
          <a:spLocks noChangeShapeType="1"/>
        </xdr:cNvSpPr>
      </xdr:nvSpPr>
      <xdr:spPr bwMode="auto">
        <a:xfrm flipV="1">
          <a:off x="7362825" y="13477875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62</xdr:row>
      <xdr:rowOff>0</xdr:rowOff>
    </xdr:from>
    <xdr:to>
      <xdr:col>17</xdr:col>
      <xdr:colOff>152400</xdr:colOff>
      <xdr:row>62</xdr:row>
      <xdr:rowOff>152400</xdr:rowOff>
    </xdr:to>
    <xdr:sp macro="" textlink="">
      <xdr:nvSpPr>
        <xdr:cNvPr id="38" name="Triangle Triangle"/>
        <xdr:cNvSpPr/>
      </xdr:nvSpPr>
      <xdr:spPr>
        <a:xfrm rot="16200000">
          <a:off x="9334500" y="124015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62</xdr:row>
      <xdr:rowOff>76200</xdr:rowOff>
    </xdr:from>
    <xdr:to>
      <xdr:col>21</xdr:col>
      <xdr:colOff>0</xdr:colOff>
      <xdr:row>62</xdr:row>
      <xdr:rowOff>76200</xdr:rowOff>
    </xdr:to>
    <xdr:sp macro="" textlink="">
      <xdr:nvSpPr>
        <xdr:cNvPr id="39" name="Line 2024"/>
        <xdr:cNvSpPr>
          <a:spLocks noChangeShapeType="1"/>
        </xdr:cNvSpPr>
      </xdr:nvSpPr>
      <xdr:spPr bwMode="auto">
        <a:xfrm>
          <a:off x="9486900" y="12477750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62</xdr:row>
      <xdr:rowOff>76200</xdr:rowOff>
    </xdr:from>
    <xdr:to>
      <xdr:col>17</xdr:col>
      <xdr:colOff>0</xdr:colOff>
      <xdr:row>62</xdr:row>
      <xdr:rowOff>76200</xdr:rowOff>
    </xdr:to>
    <xdr:sp macro="" textlink="">
      <xdr:nvSpPr>
        <xdr:cNvPr id="40" name="Line 2025"/>
        <xdr:cNvSpPr>
          <a:spLocks noChangeShapeType="1"/>
        </xdr:cNvSpPr>
      </xdr:nvSpPr>
      <xdr:spPr bwMode="auto">
        <a:xfrm>
          <a:off x="7658100" y="124777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58</xdr:row>
      <xdr:rowOff>76200</xdr:rowOff>
    </xdr:from>
    <xdr:to>
      <xdr:col>15</xdr:col>
      <xdr:colOff>0</xdr:colOff>
      <xdr:row>62</xdr:row>
      <xdr:rowOff>76200</xdr:rowOff>
    </xdr:to>
    <xdr:sp macro="" textlink="">
      <xdr:nvSpPr>
        <xdr:cNvPr id="41" name="Line 2026"/>
        <xdr:cNvSpPr>
          <a:spLocks noChangeShapeType="1"/>
        </xdr:cNvSpPr>
      </xdr:nvSpPr>
      <xdr:spPr bwMode="auto">
        <a:xfrm>
          <a:off x="7362825" y="11677650"/>
          <a:ext cx="295275" cy="8001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54</xdr:row>
      <xdr:rowOff>0</xdr:rowOff>
    </xdr:from>
    <xdr:to>
      <xdr:col>17</xdr:col>
      <xdr:colOff>152400</xdr:colOff>
      <xdr:row>54</xdr:row>
      <xdr:rowOff>152400</xdr:rowOff>
    </xdr:to>
    <xdr:sp macro="" textlink="">
      <xdr:nvSpPr>
        <xdr:cNvPr id="42" name="Circle Oval"/>
        <xdr:cNvSpPr/>
      </xdr:nvSpPr>
      <xdr:spPr>
        <a:xfrm>
          <a:off x="9334500" y="108013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54</xdr:row>
      <xdr:rowOff>76200</xdr:rowOff>
    </xdr:from>
    <xdr:to>
      <xdr:col>17</xdr:col>
      <xdr:colOff>0</xdr:colOff>
      <xdr:row>54</xdr:row>
      <xdr:rowOff>76200</xdr:rowOff>
    </xdr:to>
    <xdr:sp macro="" textlink="">
      <xdr:nvSpPr>
        <xdr:cNvPr id="43" name="Line 2027"/>
        <xdr:cNvSpPr>
          <a:spLocks noChangeShapeType="1"/>
        </xdr:cNvSpPr>
      </xdr:nvSpPr>
      <xdr:spPr bwMode="auto">
        <a:xfrm>
          <a:off x="7658100" y="108775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54</xdr:row>
      <xdr:rowOff>76200</xdr:rowOff>
    </xdr:from>
    <xdr:to>
      <xdr:col>15</xdr:col>
      <xdr:colOff>0</xdr:colOff>
      <xdr:row>58</xdr:row>
      <xdr:rowOff>76200</xdr:rowOff>
    </xdr:to>
    <xdr:sp macro="" textlink="">
      <xdr:nvSpPr>
        <xdr:cNvPr id="44" name="Line 2028"/>
        <xdr:cNvSpPr>
          <a:spLocks noChangeShapeType="1"/>
        </xdr:cNvSpPr>
      </xdr:nvSpPr>
      <xdr:spPr bwMode="auto">
        <a:xfrm flipV="1">
          <a:off x="7362825" y="10877550"/>
          <a:ext cx="295275" cy="8001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69</xdr:row>
      <xdr:rowOff>0</xdr:rowOff>
    </xdr:from>
    <xdr:to>
      <xdr:col>13</xdr:col>
      <xdr:colOff>152400</xdr:colOff>
      <xdr:row>69</xdr:row>
      <xdr:rowOff>152400</xdr:rowOff>
    </xdr:to>
    <xdr:sp macro="" textlink="">
      <xdr:nvSpPr>
        <xdr:cNvPr id="45" name="Circle Oval"/>
        <xdr:cNvSpPr/>
      </xdr:nvSpPr>
      <xdr:spPr>
        <a:xfrm>
          <a:off x="7210425" y="138017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69</xdr:row>
      <xdr:rowOff>76200</xdr:rowOff>
    </xdr:from>
    <xdr:to>
      <xdr:col>13</xdr:col>
      <xdr:colOff>0</xdr:colOff>
      <xdr:row>69</xdr:row>
      <xdr:rowOff>76200</xdr:rowOff>
    </xdr:to>
    <xdr:sp macro="" textlink="">
      <xdr:nvSpPr>
        <xdr:cNvPr id="46" name="Line 2029"/>
        <xdr:cNvSpPr>
          <a:spLocks noChangeShapeType="1"/>
        </xdr:cNvSpPr>
      </xdr:nvSpPr>
      <xdr:spPr bwMode="auto">
        <a:xfrm>
          <a:off x="5534025" y="138779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63</xdr:row>
      <xdr:rowOff>76200</xdr:rowOff>
    </xdr:from>
    <xdr:to>
      <xdr:col>11</xdr:col>
      <xdr:colOff>0</xdr:colOff>
      <xdr:row>69</xdr:row>
      <xdr:rowOff>76200</xdr:rowOff>
    </xdr:to>
    <xdr:sp macro="" textlink="">
      <xdr:nvSpPr>
        <xdr:cNvPr id="47" name="Line 2030"/>
        <xdr:cNvSpPr>
          <a:spLocks noChangeShapeType="1"/>
        </xdr:cNvSpPr>
      </xdr:nvSpPr>
      <xdr:spPr bwMode="auto">
        <a:xfrm>
          <a:off x="5238750" y="12677775"/>
          <a:ext cx="295275" cy="12001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152400</xdr:colOff>
      <xdr:row>58</xdr:row>
      <xdr:rowOff>152400</xdr:rowOff>
    </xdr:to>
    <xdr:sp macro="" textlink="">
      <xdr:nvSpPr>
        <xdr:cNvPr id="48" name="Circle Oval"/>
        <xdr:cNvSpPr/>
      </xdr:nvSpPr>
      <xdr:spPr>
        <a:xfrm>
          <a:off x="7210425" y="116014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58</xdr:row>
      <xdr:rowOff>76200</xdr:rowOff>
    </xdr:from>
    <xdr:to>
      <xdr:col>13</xdr:col>
      <xdr:colOff>0</xdr:colOff>
      <xdr:row>58</xdr:row>
      <xdr:rowOff>76200</xdr:rowOff>
    </xdr:to>
    <xdr:sp macro="" textlink="">
      <xdr:nvSpPr>
        <xdr:cNvPr id="49" name="Line 2031"/>
        <xdr:cNvSpPr>
          <a:spLocks noChangeShapeType="1"/>
        </xdr:cNvSpPr>
      </xdr:nvSpPr>
      <xdr:spPr bwMode="auto">
        <a:xfrm>
          <a:off x="5534025" y="116776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58</xdr:row>
      <xdr:rowOff>76200</xdr:rowOff>
    </xdr:from>
    <xdr:to>
      <xdr:col>11</xdr:col>
      <xdr:colOff>0</xdr:colOff>
      <xdr:row>63</xdr:row>
      <xdr:rowOff>76200</xdr:rowOff>
    </xdr:to>
    <xdr:sp macro="" textlink="">
      <xdr:nvSpPr>
        <xdr:cNvPr id="50" name="Line 2032"/>
        <xdr:cNvSpPr>
          <a:spLocks noChangeShapeType="1"/>
        </xdr:cNvSpPr>
      </xdr:nvSpPr>
      <xdr:spPr bwMode="auto">
        <a:xfrm flipV="1">
          <a:off x="5238750" y="11677650"/>
          <a:ext cx="295275" cy="10001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79</xdr:row>
      <xdr:rowOff>0</xdr:rowOff>
    </xdr:from>
    <xdr:to>
      <xdr:col>9</xdr:col>
      <xdr:colOff>152400</xdr:colOff>
      <xdr:row>79</xdr:row>
      <xdr:rowOff>152400</xdr:rowOff>
    </xdr:to>
    <xdr:sp macro="" textlink="">
      <xdr:nvSpPr>
        <xdr:cNvPr id="51" name="Circle Oval"/>
        <xdr:cNvSpPr/>
      </xdr:nvSpPr>
      <xdr:spPr>
        <a:xfrm>
          <a:off x="5086350" y="158019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79</xdr:row>
      <xdr:rowOff>76200</xdr:rowOff>
    </xdr:from>
    <xdr:to>
      <xdr:col>9</xdr:col>
      <xdr:colOff>0</xdr:colOff>
      <xdr:row>79</xdr:row>
      <xdr:rowOff>76200</xdr:rowOff>
    </xdr:to>
    <xdr:sp macro="" textlink="">
      <xdr:nvSpPr>
        <xdr:cNvPr id="52" name="Line 2033"/>
        <xdr:cNvSpPr>
          <a:spLocks noChangeShapeType="1"/>
        </xdr:cNvSpPr>
      </xdr:nvSpPr>
      <xdr:spPr bwMode="auto">
        <a:xfrm>
          <a:off x="3409950" y="158781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71</xdr:row>
      <xdr:rowOff>76200</xdr:rowOff>
    </xdr:from>
    <xdr:to>
      <xdr:col>7</xdr:col>
      <xdr:colOff>0</xdr:colOff>
      <xdr:row>79</xdr:row>
      <xdr:rowOff>76200</xdr:rowOff>
    </xdr:to>
    <xdr:sp macro="" textlink="">
      <xdr:nvSpPr>
        <xdr:cNvPr id="53" name="Line 2034"/>
        <xdr:cNvSpPr>
          <a:spLocks noChangeShapeType="1"/>
        </xdr:cNvSpPr>
      </xdr:nvSpPr>
      <xdr:spPr bwMode="auto">
        <a:xfrm>
          <a:off x="3114675" y="14277975"/>
          <a:ext cx="295275" cy="16002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63</xdr:row>
      <xdr:rowOff>0</xdr:rowOff>
    </xdr:from>
    <xdr:to>
      <xdr:col>9</xdr:col>
      <xdr:colOff>152400</xdr:colOff>
      <xdr:row>63</xdr:row>
      <xdr:rowOff>152400</xdr:rowOff>
    </xdr:to>
    <xdr:sp macro="" textlink="">
      <xdr:nvSpPr>
        <xdr:cNvPr id="54" name="Square Rectangle"/>
        <xdr:cNvSpPr/>
      </xdr:nvSpPr>
      <xdr:spPr>
        <a:xfrm>
          <a:off x="5086350" y="12601575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  <a:extLst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63</xdr:row>
      <xdr:rowOff>76200</xdr:rowOff>
    </xdr:from>
    <xdr:to>
      <xdr:col>9</xdr:col>
      <xdr:colOff>0</xdr:colOff>
      <xdr:row>63</xdr:row>
      <xdr:rowOff>76200</xdr:rowOff>
    </xdr:to>
    <xdr:sp macro="" textlink="">
      <xdr:nvSpPr>
        <xdr:cNvPr id="55" name="Line 2035"/>
        <xdr:cNvSpPr>
          <a:spLocks noChangeShapeType="1"/>
        </xdr:cNvSpPr>
      </xdr:nvSpPr>
      <xdr:spPr bwMode="auto">
        <a:xfrm>
          <a:off x="3409950" y="126777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63</xdr:row>
      <xdr:rowOff>76200</xdr:rowOff>
    </xdr:from>
    <xdr:to>
      <xdr:col>7</xdr:col>
      <xdr:colOff>0</xdr:colOff>
      <xdr:row>71</xdr:row>
      <xdr:rowOff>76200</xdr:rowOff>
    </xdr:to>
    <xdr:sp macro="" textlink="">
      <xdr:nvSpPr>
        <xdr:cNvPr id="56" name="Line 2036"/>
        <xdr:cNvSpPr>
          <a:spLocks noChangeShapeType="1"/>
        </xdr:cNvSpPr>
      </xdr:nvSpPr>
      <xdr:spPr bwMode="auto">
        <a:xfrm flipV="1">
          <a:off x="3114675" y="12677775"/>
          <a:ext cx="295275" cy="16002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152400</xdr:colOff>
      <xdr:row>25</xdr:row>
      <xdr:rowOff>152400</xdr:rowOff>
    </xdr:to>
    <xdr:sp macro="" textlink="">
      <xdr:nvSpPr>
        <xdr:cNvPr id="57" name="Circle Oval"/>
        <xdr:cNvSpPr/>
      </xdr:nvSpPr>
      <xdr:spPr>
        <a:xfrm>
          <a:off x="2962275" y="50006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25</xdr:row>
      <xdr:rowOff>76200</xdr:rowOff>
    </xdr:from>
    <xdr:to>
      <xdr:col>5</xdr:col>
      <xdr:colOff>0</xdr:colOff>
      <xdr:row>25</xdr:row>
      <xdr:rowOff>76200</xdr:rowOff>
    </xdr:to>
    <xdr:sp macro="" textlink="">
      <xdr:nvSpPr>
        <xdr:cNvPr id="58" name="Line 2037"/>
        <xdr:cNvSpPr>
          <a:spLocks noChangeShapeType="1"/>
        </xdr:cNvSpPr>
      </xdr:nvSpPr>
      <xdr:spPr bwMode="auto">
        <a:xfrm>
          <a:off x="1285875" y="50768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</xdr:col>
      <xdr:colOff>152400</xdr:colOff>
      <xdr:row>25</xdr:row>
      <xdr:rowOff>76200</xdr:rowOff>
    </xdr:from>
    <xdr:to>
      <xdr:col>3</xdr:col>
      <xdr:colOff>0</xdr:colOff>
      <xdr:row>48</xdr:row>
      <xdr:rowOff>76200</xdr:rowOff>
    </xdr:to>
    <xdr:sp macro="" textlink="">
      <xdr:nvSpPr>
        <xdr:cNvPr id="59" name="Line 2038"/>
        <xdr:cNvSpPr>
          <a:spLocks noChangeShapeType="1"/>
        </xdr:cNvSpPr>
      </xdr:nvSpPr>
      <xdr:spPr bwMode="auto">
        <a:xfrm flipV="1">
          <a:off x="990600" y="5076825"/>
          <a:ext cx="295275" cy="46005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22</xdr:row>
      <xdr:rowOff>0</xdr:rowOff>
    </xdr:from>
    <xdr:to>
      <xdr:col>17</xdr:col>
      <xdr:colOff>152400</xdr:colOff>
      <xdr:row>22</xdr:row>
      <xdr:rowOff>152400</xdr:rowOff>
    </xdr:to>
    <xdr:sp macro="" textlink="">
      <xdr:nvSpPr>
        <xdr:cNvPr id="60" name="Triangle Triangle"/>
        <xdr:cNvSpPr/>
      </xdr:nvSpPr>
      <xdr:spPr>
        <a:xfrm rot="16200000">
          <a:off x="9334500" y="44005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22</xdr:row>
      <xdr:rowOff>76200</xdr:rowOff>
    </xdr:from>
    <xdr:to>
      <xdr:col>21</xdr:col>
      <xdr:colOff>0</xdr:colOff>
      <xdr:row>22</xdr:row>
      <xdr:rowOff>76200</xdr:rowOff>
    </xdr:to>
    <xdr:sp macro="" textlink="">
      <xdr:nvSpPr>
        <xdr:cNvPr id="61" name="Line 2039"/>
        <xdr:cNvSpPr>
          <a:spLocks noChangeShapeType="1"/>
        </xdr:cNvSpPr>
      </xdr:nvSpPr>
      <xdr:spPr bwMode="auto">
        <a:xfrm>
          <a:off x="9486900" y="4476750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22</xdr:row>
      <xdr:rowOff>76200</xdr:rowOff>
    </xdr:from>
    <xdr:to>
      <xdr:col>17</xdr:col>
      <xdr:colOff>0</xdr:colOff>
      <xdr:row>22</xdr:row>
      <xdr:rowOff>76200</xdr:rowOff>
    </xdr:to>
    <xdr:sp macro="" textlink="">
      <xdr:nvSpPr>
        <xdr:cNvPr id="62" name="Line 2040"/>
        <xdr:cNvSpPr>
          <a:spLocks noChangeShapeType="1"/>
        </xdr:cNvSpPr>
      </xdr:nvSpPr>
      <xdr:spPr bwMode="auto">
        <a:xfrm>
          <a:off x="7658100" y="44767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19</xdr:row>
      <xdr:rowOff>76200</xdr:rowOff>
    </xdr:from>
    <xdr:to>
      <xdr:col>15</xdr:col>
      <xdr:colOff>0</xdr:colOff>
      <xdr:row>22</xdr:row>
      <xdr:rowOff>76200</xdr:rowOff>
    </xdr:to>
    <xdr:sp macro="" textlink="">
      <xdr:nvSpPr>
        <xdr:cNvPr id="63" name="Line 2041"/>
        <xdr:cNvSpPr>
          <a:spLocks noChangeShapeType="1"/>
        </xdr:cNvSpPr>
      </xdr:nvSpPr>
      <xdr:spPr bwMode="auto">
        <a:xfrm>
          <a:off x="7362825" y="3876675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152400</xdr:colOff>
      <xdr:row>8</xdr:row>
      <xdr:rowOff>152400</xdr:rowOff>
    </xdr:to>
    <xdr:sp macro="" textlink="">
      <xdr:nvSpPr>
        <xdr:cNvPr id="64" name="Circle Oval"/>
        <xdr:cNvSpPr/>
      </xdr:nvSpPr>
      <xdr:spPr>
        <a:xfrm>
          <a:off x="7210425" y="16002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8</xdr:row>
      <xdr:rowOff>76200</xdr:rowOff>
    </xdr:from>
    <xdr:to>
      <xdr:col>13</xdr:col>
      <xdr:colOff>0</xdr:colOff>
      <xdr:row>8</xdr:row>
      <xdr:rowOff>76200</xdr:rowOff>
    </xdr:to>
    <xdr:sp macro="" textlink="">
      <xdr:nvSpPr>
        <xdr:cNvPr id="65" name="Line 2042"/>
        <xdr:cNvSpPr>
          <a:spLocks noChangeShapeType="1"/>
        </xdr:cNvSpPr>
      </xdr:nvSpPr>
      <xdr:spPr bwMode="auto">
        <a:xfrm>
          <a:off x="5534025" y="16764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8</xdr:row>
      <xdr:rowOff>76200</xdr:rowOff>
    </xdr:from>
    <xdr:to>
      <xdr:col>11</xdr:col>
      <xdr:colOff>0</xdr:colOff>
      <xdr:row>13</xdr:row>
      <xdr:rowOff>76200</xdr:rowOff>
    </xdr:to>
    <xdr:sp macro="" textlink="">
      <xdr:nvSpPr>
        <xdr:cNvPr id="66" name="Line 2043"/>
        <xdr:cNvSpPr>
          <a:spLocks noChangeShapeType="1"/>
        </xdr:cNvSpPr>
      </xdr:nvSpPr>
      <xdr:spPr bwMode="auto">
        <a:xfrm flipV="1">
          <a:off x="5238750" y="1676400"/>
          <a:ext cx="295275" cy="10001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57</xdr:row>
      <xdr:rowOff>0</xdr:rowOff>
    </xdr:from>
    <xdr:to>
      <xdr:col>21</xdr:col>
      <xdr:colOff>152400</xdr:colOff>
      <xdr:row>57</xdr:row>
      <xdr:rowOff>152400</xdr:rowOff>
    </xdr:to>
    <xdr:sp macro="" textlink="">
      <xdr:nvSpPr>
        <xdr:cNvPr id="67" name="Triangle Triangle"/>
        <xdr:cNvSpPr/>
      </xdr:nvSpPr>
      <xdr:spPr>
        <a:xfrm rot="16200000">
          <a:off x="11458575" y="114014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57</xdr:row>
      <xdr:rowOff>76200</xdr:rowOff>
    </xdr:from>
    <xdr:to>
      <xdr:col>21</xdr:col>
      <xdr:colOff>0</xdr:colOff>
      <xdr:row>57</xdr:row>
      <xdr:rowOff>76200</xdr:rowOff>
    </xdr:to>
    <xdr:sp macro="" textlink="">
      <xdr:nvSpPr>
        <xdr:cNvPr id="68" name="Line 2044"/>
        <xdr:cNvSpPr>
          <a:spLocks noChangeShapeType="1"/>
        </xdr:cNvSpPr>
      </xdr:nvSpPr>
      <xdr:spPr bwMode="auto">
        <a:xfrm>
          <a:off x="9782175" y="114776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54</xdr:row>
      <xdr:rowOff>76200</xdr:rowOff>
    </xdr:from>
    <xdr:to>
      <xdr:col>19</xdr:col>
      <xdr:colOff>0</xdr:colOff>
      <xdr:row>57</xdr:row>
      <xdr:rowOff>76200</xdr:rowOff>
    </xdr:to>
    <xdr:sp macro="" textlink="">
      <xdr:nvSpPr>
        <xdr:cNvPr id="69" name="Line 2045"/>
        <xdr:cNvSpPr>
          <a:spLocks noChangeShapeType="1"/>
        </xdr:cNvSpPr>
      </xdr:nvSpPr>
      <xdr:spPr bwMode="auto">
        <a:xfrm>
          <a:off x="9486900" y="10877550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152400</xdr:colOff>
      <xdr:row>13</xdr:row>
      <xdr:rowOff>152400</xdr:rowOff>
    </xdr:to>
    <xdr:sp macro="" textlink="">
      <xdr:nvSpPr>
        <xdr:cNvPr id="70" name="Square Rectangle"/>
        <xdr:cNvSpPr/>
      </xdr:nvSpPr>
      <xdr:spPr>
        <a:xfrm>
          <a:off x="5086350" y="2600325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13</xdr:row>
      <xdr:rowOff>76200</xdr:rowOff>
    </xdr:from>
    <xdr:to>
      <xdr:col>9</xdr:col>
      <xdr:colOff>0</xdr:colOff>
      <xdr:row>13</xdr:row>
      <xdr:rowOff>76200</xdr:rowOff>
    </xdr:to>
    <xdr:sp macro="" textlink="">
      <xdr:nvSpPr>
        <xdr:cNvPr id="71" name="Line 2046"/>
        <xdr:cNvSpPr>
          <a:spLocks noChangeShapeType="1"/>
        </xdr:cNvSpPr>
      </xdr:nvSpPr>
      <xdr:spPr bwMode="auto">
        <a:xfrm>
          <a:off x="3409950" y="26765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13</xdr:row>
      <xdr:rowOff>76200</xdr:rowOff>
    </xdr:from>
    <xdr:to>
      <xdr:col>7</xdr:col>
      <xdr:colOff>0</xdr:colOff>
      <xdr:row>25</xdr:row>
      <xdr:rowOff>76200</xdr:rowOff>
    </xdr:to>
    <xdr:sp macro="" textlink="">
      <xdr:nvSpPr>
        <xdr:cNvPr id="72" name="Line 2047"/>
        <xdr:cNvSpPr>
          <a:spLocks noChangeShapeType="1"/>
        </xdr:cNvSpPr>
      </xdr:nvSpPr>
      <xdr:spPr bwMode="auto">
        <a:xfrm flipV="1">
          <a:off x="3114675" y="2676525"/>
          <a:ext cx="295275" cy="24003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152400</xdr:colOff>
      <xdr:row>19</xdr:row>
      <xdr:rowOff>152400</xdr:rowOff>
    </xdr:to>
    <xdr:sp macro="" textlink="">
      <xdr:nvSpPr>
        <xdr:cNvPr id="73" name="Circle Oval"/>
        <xdr:cNvSpPr/>
      </xdr:nvSpPr>
      <xdr:spPr>
        <a:xfrm>
          <a:off x="7210425" y="38004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19</xdr:row>
      <xdr:rowOff>76200</xdr:rowOff>
    </xdr:from>
    <xdr:to>
      <xdr:col>13</xdr:col>
      <xdr:colOff>0</xdr:colOff>
      <xdr:row>19</xdr:row>
      <xdr:rowOff>76200</xdr:rowOff>
    </xdr:to>
    <xdr:sp macro="" textlink="">
      <xdr:nvSpPr>
        <xdr:cNvPr id="74" name="Line 2048"/>
        <xdr:cNvSpPr>
          <a:spLocks noChangeShapeType="1"/>
        </xdr:cNvSpPr>
      </xdr:nvSpPr>
      <xdr:spPr bwMode="auto">
        <a:xfrm>
          <a:off x="5534025" y="38766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13</xdr:row>
      <xdr:rowOff>76200</xdr:rowOff>
    </xdr:from>
    <xdr:to>
      <xdr:col>11</xdr:col>
      <xdr:colOff>0</xdr:colOff>
      <xdr:row>19</xdr:row>
      <xdr:rowOff>76200</xdr:rowOff>
    </xdr:to>
    <xdr:sp macro="" textlink="">
      <xdr:nvSpPr>
        <xdr:cNvPr id="75" name="Line 2049"/>
        <xdr:cNvSpPr>
          <a:spLocks noChangeShapeType="1"/>
        </xdr:cNvSpPr>
      </xdr:nvSpPr>
      <xdr:spPr bwMode="auto">
        <a:xfrm>
          <a:off x="5238750" y="2676525"/>
          <a:ext cx="295275" cy="12001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52</xdr:row>
      <xdr:rowOff>0</xdr:rowOff>
    </xdr:from>
    <xdr:to>
      <xdr:col>21</xdr:col>
      <xdr:colOff>152400</xdr:colOff>
      <xdr:row>52</xdr:row>
      <xdr:rowOff>152400</xdr:rowOff>
    </xdr:to>
    <xdr:sp macro="" textlink="">
      <xdr:nvSpPr>
        <xdr:cNvPr id="76" name="Triangle Triangle"/>
        <xdr:cNvSpPr/>
      </xdr:nvSpPr>
      <xdr:spPr>
        <a:xfrm rot="16200000">
          <a:off x="11458575" y="104013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52</xdr:row>
      <xdr:rowOff>76200</xdr:rowOff>
    </xdr:from>
    <xdr:to>
      <xdr:col>21</xdr:col>
      <xdr:colOff>0</xdr:colOff>
      <xdr:row>52</xdr:row>
      <xdr:rowOff>76200</xdr:rowOff>
    </xdr:to>
    <xdr:sp macro="" textlink="">
      <xdr:nvSpPr>
        <xdr:cNvPr id="77" name="Line 2050"/>
        <xdr:cNvSpPr>
          <a:spLocks noChangeShapeType="1"/>
        </xdr:cNvSpPr>
      </xdr:nvSpPr>
      <xdr:spPr bwMode="auto">
        <a:xfrm>
          <a:off x="9782175" y="104775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52</xdr:row>
      <xdr:rowOff>76200</xdr:rowOff>
    </xdr:from>
    <xdr:to>
      <xdr:col>19</xdr:col>
      <xdr:colOff>0</xdr:colOff>
      <xdr:row>54</xdr:row>
      <xdr:rowOff>76200</xdr:rowOff>
    </xdr:to>
    <xdr:sp macro="" textlink="">
      <xdr:nvSpPr>
        <xdr:cNvPr id="78" name="Line 2051"/>
        <xdr:cNvSpPr>
          <a:spLocks noChangeShapeType="1"/>
        </xdr:cNvSpPr>
      </xdr:nvSpPr>
      <xdr:spPr bwMode="auto">
        <a:xfrm flipV="1">
          <a:off x="9486900" y="10477500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152400</xdr:colOff>
      <xdr:row>38</xdr:row>
      <xdr:rowOff>152400</xdr:rowOff>
    </xdr:to>
    <xdr:sp macro="" textlink="">
      <xdr:nvSpPr>
        <xdr:cNvPr id="79" name="Square Rectangle"/>
        <xdr:cNvSpPr/>
      </xdr:nvSpPr>
      <xdr:spPr>
        <a:xfrm>
          <a:off x="5086350" y="7600950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38</xdr:row>
      <xdr:rowOff>76200</xdr:rowOff>
    </xdr:from>
    <xdr:to>
      <xdr:col>9</xdr:col>
      <xdr:colOff>0</xdr:colOff>
      <xdr:row>38</xdr:row>
      <xdr:rowOff>76200</xdr:rowOff>
    </xdr:to>
    <xdr:sp macro="" textlink="">
      <xdr:nvSpPr>
        <xdr:cNvPr id="80" name="Line 2052"/>
        <xdr:cNvSpPr>
          <a:spLocks noChangeShapeType="1"/>
        </xdr:cNvSpPr>
      </xdr:nvSpPr>
      <xdr:spPr bwMode="auto">
        <a:xfrm>
          <a:off x="3409950" y="76771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25</xdr:row>
      <xdr:rowOff>76200</xdr:rowOff>
    </xdr:from>
    <xdr:to>
      <xdr:col>7</xdr:col>
      <xdr:colOff>0</xdr:colOff>
      <xdr:row>38</xdr:row>
      <xdr:rowOff>76200</xdr:rowOff>
    </xdr:to>
    <xdr:sp macro="" textlink="">
      <xdr:nvSpPr>
        <xdr:cNvPr id="81" name="Line 2053"/>
        <xdr:cNvSpPr>
          <a:spLocks noChangeShapeType="1"/>
        </xdr:cNvSpPr>
      </xdr:nvSpPr>
      <xdr:spPr bwMode="auto">
        <a:xfrm>
          <a:off x="3114675" y="5076825"/>
          <a:ext cx="295275" cy="26003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152400</xdr:colOff>
      <xdr:row>32</xdr:row>
      <xdr:rowOff>152400</xdr:rowOff>
    </xdr:to>
    <xdr:sp macro="" textlink="">
      <xdr:nvSpPr>
        <xdr:cNvPr id="82" name="Triangle Triangle"/>
        <xdr:cNvSpPr/>
      </xdr:nvSpPr>
      <xdr:spPr>
        <a:xfrm rot="16200000">
          <a:off x="11458575" y="64008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32</xdr:row>
      <xdr:rowOff>76200</xdr:rowOff>
    </xdr:from>
    <xdr:to>
      <xdr:col>21</xdr:col>
      <xdr:colOff>0</xdr:colOff>
      <xdr:row>32</xdr:row>
      <xdr:rowOff>76200</xdr:rowOff>
    </xdr:to>
    <xdr:sp macro="" textlink="">
      <xdr:nvSpPr>
        <xdr:cNvPr id="83" name="Line 2054"/>
        <xdr:cNvSpPr>
          <a:spLocks noChangeShapeType="1"/>
        </xdr:cNvSpPr>
      </xdr:nvSpPr>
      <xdr:spPr bwMode="auto">
        <a:xfrm>
          <a:off x="9782175" y="64770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29</xdr:row>
      <xdr:rowOff>76200</xdr:rowOff>
    </xdr:from>
    <xdr:to>
      <xdr:col>19</xdr:col>
      <xdr:colOff>0</xdr:colOff>
      <xdr:row>32</xdr:row>
      <xdr:rowOff>76200</xdr:rowOff>
    </xdr:to>
    <xdr:sp macro="" textlink="">
      <xdr:nvSpPr>
        <xdr:cNvPr id="84" name="Line 2055"/>
        <xdr:cNvSpPr>
          <a:spLocks noChangeShapeType="1"/>
        </xdr:cNvSpPr>
      </xdr:nvSpPr>
      <xdr:spPr bwMode="auto">
        <a:xfrm>
          <a:off x="9486900" y="5876925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27</xdr:row>
      <xdr:rowOff>0</xdr:rowOff>
    </xdr:from>
    <xdr:to>
      <xdr:col>21</xdr:col>
      <xdr:colOff>152400</xdr:colOff>
      <xdr:row>27</xdr:row>
      <xdr:rowOff>152400</xdr:rowOff>
    </xdr:to>
    <xdr:sp macro="" textlink="">
      <xdr:nvSpPr>
        <xdr:cNvPr id="85" name="Triangle Triangle"/>
        <xdr:cNvSpPr/>
      </xdr:nvSpPr>
      <xdr:spPr>
        <a:xfrm rot="16200000">
          <a:off x="11458575" y="54006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27</xdr:row>
      <xdr:rowOff>76200</xdr:rowOff>
    </xdr:from>
    <xdr:to>
      <xdr:col>21</xdr:col>
      <xdr:colOff>0</xdr:colOff>
      <xdr:row>27</xdr:row>
      <xdr:rowOff>76200</xdr:rowOff>
    </xdr:to>
    <xdr:sp macro="" textlink="">
      <xdr:nvSpPr>
        <xdr:cNvPr id="86" name="Line 2056"/>
        <xdr:cNvSpPr>
          <a:spLocks noChangeShapeType="1"/>
        </xdr:cNvSpPr>
      </xdr:nvSpPr>
      <xdr:spPr bwMode="auto">
        <a:xfrm>
          <a:off x="9782175" y="54768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27</xdr:row>
      <xdr:rowOff>76200</xdr:rowOff>
    </xdr:from>
    <xdr:to>
      <xdr:col>19</xdr:col>
      <xdr:colOff>0</xdr:colOff>
      <xdr:row>29</xdr:row>
      <xdr:rowOff>76200</xdr:rowOff>
    </xdr:to>
    <xdr:sp macro="" textlink="">
      <xdr:nvSpPr>
        <xdr:cNvPr id="87" name="Line 2057"/>
        <xdr:cNvSpPr>
          <a:spLocks noChangeShapeType="1"/>
        </xdr:cNvSpPr>
      </xdr:nvSpPr>
      <xdr:spPr bwMode="auto">
        <a:xfrm flipV="1">
          <a:off x="9486900" y="5476875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42</xdr:row>
      <xdr:rowOff>0</xdr:rowOff>
    </xdr:from>
    <xdr:to>
      <xdr:col>17</xdr:col>
      <xdr:colOff>152400</xdr:colOff>
      <xdr:row>42</xdr:row>
      <xdr:rowOff>152400</xdr:rowOff>
    </xdr:to>
    <xdr:sp macro="" textlink="">
      <xdr:nvSpPr>
        <xdr:cNvPr id="88" name="Triangle Triangle"/>
        <xdr:cNvSpPr/>
      </xdr:nvSpPr>
      <xdr:spPr>
        <a:xfrm rot="16200000">
          <a:off x="9334500" y="84010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42</xdr:row>
      <xdr:rowOff>76200</xdr:rowOff>
    </xdr:from>
    <xdr:to>
      <xdr:col>21</xdr:col>
      <xdr:colOff>0</xdr:colOff>
      <xdr:row>42</xdr:row>
      <xdr:rowOff>76200</xdr:rowOff>
    </xdr:to>
    <xdr:sp macro="" textlink="">
      <xdr:nvSpPr>
        <xdr:cNvPr id="89" name="Line 2058"/>
        <xdr:cNvSpPr>
          <a:spLocks noChangeShapeType="1"/>
        </xdr:cNvSpPr>
      </xdr:nvSpPr>
      <xdr:spPr bwMode="auto">
        <a:xfrm>
          <a:off x="9486900" y="8477250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42</xdr:row>
      <xdr:rowOff>76200</xdr:rowOff>
    </xdr:from>
    <xdr:to>
      <xdr:col>17</xdr:col>
      <xdr:colOff>0</xdr:colOff>
      <xdr:row>42</xdr:row>
      <xdr:rowOff>76200</xdr:rowOff>
    </xdr:to>
    <xdr:sp macro="" textlink="">
      <xdr:nvSpPr>
        <xdr:cNvPr id="90" name="Line 2059"/>
        <xdr:cNvSpPr>
          <a:spLocks noChangeShapeType="1"/>
        </xdr:cNvSpPr>
      </xdr:nvSpPr>
      <xdr:spPr bwMode="auto">
        <a:xfrm>
          <a:off x="7658100" y="84772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42</xdr:row>
      <xdr:rowOff>76200</xdr:rowOff>
    </xdr:from>
    <xdr:to>
      <xdr:col>15</xdr:col>
      <xdr:colOff>0</xdr:colOff>
      <xdr:row>44</xdr:row>
      <xdr:rowOff>76200</xdr:rowOff>
    </xdr:to>
    <xdr:sp macro="" textlink="">
      <xdr:nvSpPr>
        <xdr:cNvPr id="91" name="Line 2060"/>
        <xdr:cNvSpPr>
          <a:spLocks noChangeShapeType="1"/>
        </xdr:cNvSpPr>
      </xdr:nvSpPr>
      <xdr:spPr bwMode="auto">
        <a:xfrm flipV="1">
          <a:off x="7362825" y="8477250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37</xdr:row>
      <xdr:rowOff>0</xdr:rowOff>
    </xdr:from>
    <xdr:to>
      <xdr:col>17</xdr:col>
      <xdr:colOff>152400</xdr:colOff>
      <xdr:row>37</xdr:row>
      <xdr:rowOff>152400</xdr:rowOff>
    </xdr:to>
    <xdr:sp macro="" textlink="">
      <xdr:nvSpPr>
        <xdr:cNvPr id="92" name="Triangle Triangle"/>
        <xdr:cNvSpPr/>
      </xdr:nvSpPr>
      <xdr:spPr>
        <a:xfrm rot="16200000">
          <a:off x="9334500" y="74009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37</xdr:row>
      <xdr:rowOff>76200</xdr:rowOff>
    </xdr:from>
    <xdr:to>
      <xdr:col>21</xdr:col>
      <xdr:colOff>0</xdr:colOff>
      <xdr:row>37</xdr:row>
      <xdr:rowOff>76200</xdr:rowOff>
    </xdr:to>
    <xdr:sp macro="" textlink="">
      <xdr:nvSpPr>
        <xdr:cNvPr id="93" name="Line 2061"/>
        <xdr:cNvSpPr>
          <a:spLocks noChangeShapeType="1"/>
        </xdr:cNvSpPr>
      </xdr:nvSpPr>
      <xdr:spPr bwMode="auto">
        <a:xfrm>
          <a:off x="9486900" y="7477125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37</xdr:row>
      <xdr:rowOff>76200</xdr:rowOff>
    </xdr:from>
    <xdr:to>
      <xdr:col>17</xdr:col>
      <xdr:colOff>0</xdr:colOff>
      <xdr:row>37</xdr:row>
      <xdr:rowOff>76200</xdr:rowOff>
    </xdr:to>
    <xdr:sp macro="" textlink="">
      <xdr:nvSpPr>
        <xdr:cNvPr id="94" name="Line 2062"/>
        <xdr:cNvSpPr>
          <a:spLocks noChangeShapeType="1"/>
        </xdr:cNvSpPr>
      </xdr:nvSpPr>
      <xdr:spPr bwMode="auto">
        <a:xfrm>
          <a:off x="7658100" y="74771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33</xdr:row>
      <xdr:rowOff>76200</xdr:rowOff>
    </xdr:from>
    <xdr:to>
      <xdr:col>15</xdr:col>
      <xdr:colOff>0</xdr:colOff>
      <xdr:row>37</xdr:row>
      <xdr:rowOff>76200</xdr:rowOff>
    </xdr:to>
    <xdr:sp macro="" textlink="">
      <xdr:nvSpPr>
        <xdr:cNvPr id="95" name="Line 2063"/>
        <xdr:cNvSpPr>
          <a:spLocks noChangeShapeType="1"/>
        </xdr:cNvSpPr>
      </xdr:nvSpPr>
      <xdr:spPr bwMode="auto">
        <a:xfrm>
          <a:off x="7362825" y="6677025"/>
          <a:ext cx="295275" cy="8001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29</xdr:row>
      <xdr:rowOff>0</xdr:rowOff>
    </xdr:from>
    <xdr:to>
      <xdr:col>17</xdr:col>
      <xdr:colOff>152400</xdr:colOff>
      <xdr:row>29</xdr:row>
      <xdr:rowOff>152400</xdr:rowOff>
    </xdr:to>
    <xdr:sp macro="" textlink="">
      <xdr:nvSpPr>
        <xdr:cNvPr id="96" name="Circle Oval"/>
        <xdr:cNvSpPr/>
      </xdr:nvSpPr>
      <xdr:spPr>
        <a:xfrm>
          <a:off x="9334500" y="58007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29</xdr:row>
      <xdr:rowOff>76200</xdr:rowOff>
    </xdr:from>
    <xdr:to>
      <xdr:col>17</xdr:col>
      <xdr:colOff>0</xdr:colOff>
      <xdr:row>29</xdr:row>
      <xdr:rowOff>76200</xdr:rowOff>
    </xdr:to>
    <xdr:sp macro="" textlink="">
      <xdr:nvSpPr>
        <xdr:cNvPr id="97" name="Line 2064"/>
        <xdr:cNvSpPr>
          <a:spLocks noChangeShapeType="1"/>
        </xdr:cNvSpPr>
      </xdr:nvSpPr>
      <xdr:spPr bwMode="auto">
        <a:xfrm>
          <a:off x="7658100" y="58769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29</xdr:row>
      <xdr:rowOff>76200</xdr:rowOff>
    </xdr:from>
    <xdr:to>
      <xdr:col>15</xdr:col>
      <xdr:colOff>0</xdr:colOff>
      <xdr:row>33</xdr:row>
      <xdr:rowOff>76200</xdr:rowOff>
    </xdr:to>
    <xdr:sp macro="" textlink="">
      <xdr:nvSpPr>
        <xdr:cNvPr id="98" name="Line 2065"/>
        <xdr:cNvSpPr>
          <a:spLocks noChangeShapeType="1"/>
        </xdr:cNvSpPr>
      </xdr:nvSpPr>
      <xdr:spPr bwMode="auto">
        <a:xfrm flipV="1">
          <a:off x="7362825" y="5876925"/>
          <a:ext cx="295275" cy="8001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47</xdr:row>
      <xdr:rowOff>0</xdr:rowOff>
    </xdr:from>
    <xdr:to>
      <xdr:col>17</xdr:col>
      <xdr:colOff>152400</xdr:colOff>
      <xdr:row>47</xdr:row>
      <xdr:rowOff>152400</xdr:rowOff>
    </xdr:to>
    <xdr:sp macro="" textlink="">
      <xdr:nvSpPr>
        <xdr:cNvPr id="99" name="Triangle Triangle"/>
        <xdr:cNvSpPr/>
      </xdr:nvSpPr>
      <xdr:spPr>
        <a:xfrm rot="16200000">
          <a:off x="9334500" y="94011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47</xdr:row>
      <xdr:rowOff>76200</xdr:rowOff>
    </xdr:from>
    <xdr:to>
      <xdr:col>21</xdr:col>
      <xdr:colOff>0</xdr:colOff>
      <xdr:row>47</xdr:row>
      <xdr:rowOff>76200</xdr:rowOff>
    </xdr:to>
    <xdr:sp macro="" textlink="">
      <xdr:nvSpPr>
        <xdr:cNvPr id="100" name="Line 2066"/>
        <xdr:cNvSpPr>
          <a:spLocks noChangeShapeType="1"/>
        </xdr:cNvSpPr>
      </xdr:nvSpPr>
      <xdr:spPr bwMode="auto">
        <a:xfrm>
          <a:off x="9486900" y="9477375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47</xdr:row>
      <xdr:rowOff>76200</xdr:rowOff>
    </xdr:from>
    <xdr:to>
      <xdr:col>17</xdr:col>
      <xdr:colOff>0</xdr:colOff>
      <xdr:row>47</xdr:row>
      <xdr:rowOff>76200</xdr:rowOff>
    </xdr:to>
    <xdr:sp macro="" textlink="">
      <xdr:nvSpPr>
        <xdr:cNvPr id="101" name="Line 2067"/>
        <xdr:cNvSpPr>
          <a:spLocks noChangeShapeType="1"/>
        </xdr:cNvSpPr>
      </xdr:nvSpPr>
      <xdr:spPr bwMode="auto">
        <a:xfrm>
          <a:off x="7658100" y="94773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44</xdr:row>
      <xdr:rowOff>76200</xdr:rowOff>
    </xdr:from>
    <xdr:to>
      <xdr:col>15</xdr:col>
      <xdr:colOff>0</xdr:colOff>
      <xdr:row>47</xdr:row>
      <xdr:rowOff>76200</xdr:rowOff>
    </xdr:to>
    <xdr:sp macro="" textlink="">
      <xdr:nvSpPr>
        <xdr:cNvPr id="102" name="Line 2068"/>
        <xdr:cNvSpPr>
          <a:spLocks noChangeShapeType="1"/>
        </xdr:cNvSpPr>
      </xdr:nvSpPr>
      <xdr:spPr bwMode="auto">
        <a:xfrm>
          <a:off x="7362825" y="8877300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33</xdr:row>
      <xdr:rowOff>0</xdr:rowOff>
    </xdr:from>
    <xdr:to>
      <xdr:col>13</xdr:col>
      <xdr:colOff>152400</xdr:colOff>
      <xdr:row>33</xdr:row>
      <xdr:rowOff>152400</xdr:rowOff>
    </xdr:to>
    <xdr:sp macro="" textlink="">
      <xdr:nvSpPr>
        <xdr:cNvPr id="103" name="Circle Oval"/>
        <xdr:cNvSpPr/>
      </xdr:nvSpPr>
      <xdr:spPr>
        <a:xfrm>
          <a:off x="7210425" y="66008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33</xdr:row>
      <xdr:rowOff>76200</xdr:rowOff>
    </xdr:from>
    <xdr:to>
      <xdr:col>13</xdr:col>
      <xdr:colOff>0</xdr:colOff>
      <xdr:row>33</xdr:row>
      <xdr:rowOff>76200</xdr:rowOff>
    </xdr:to>
    <xdr:sp macro="" textlink="">
      <xdr:nvSpPr>
        <xdr:cNvPr id="104" name="Line 2069"/>
        <xdr:cNvSpPr>
          <a:spLocks noChangeShapeType="1"/>
        </xdr:cNvSpPr>
      </xdr:nvSpPr>
      <xdr:spPr bwMode="auto">
        <a:xfrm>
          <a:off x="5534025" y="66770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33</xdr:row>
      <xdr:rowOff>76200</xdr:rowOff>
    </xdr:from>
    <xdr:to>
      <xdr:col>11</xdr:col>
      <xdr:colOff>0</xdr:colOff>
      <xdr:row>38</xdr:row>
      <xdr:rowOff>76200</xdr:rowOff>
    </xdr:to>
    <xdr:sp macro="" textlink="">
      <xdr:nvSpPr>
        <xdr:cNvPr id="105" name="Line 2070"/>
        <xdr:cNvSpPr>
          <a:spLocks noChangeShapeType="1"/>
        </xdr:cNvSpPr>
      </xdr:nvSpPr>
      <xdr:spPr bwMode="auto">
        <a:xfrm flipV="1">
          <a:off x="5238750" y="6677025"/>
          <a:ext cx="295275" cy="10001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152400</xdr:colOff>
      <xdr:row>44</xdr:row>
      <xdr:rowOff>152400</xdr:rowOff>
    </xdr:to>
    <xdr:sp macro="" textlink="">
      <xdr:nvSpPr>
        <xdr:cNvPr id="106" name="Circle Oval"/>
        <xdr:cNvSpPr/>
      </xdr:nvSpPr>
      <xdr:spPr>
        <a:xfrm>
          <a:off x="7210425" y="88011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44</xdr:row>
      <xdr:rowOff>76200</xdr:rowOff>
    </xdr:from>
    <xdr:to>
      <xdr:col>13</xdr:col>
      <xdr:colOff>0</xdr:colOff>
      <xdr:row>44</xdr:row>
      <xdr:rowOff>76200</xdr:rowOff>
    </xdr:to>
    <xdr:sp macro="" textlink="">
      <xdr:nvSpPr>
        <xdr:cNvPr id="107" name="Line 2071"/>
        <xdr:cNvSpPr>
          <a:spLocks noChangeShapeType="1"/>
        </xdr:cNvSpPr>
      </xdr:nvSpPr>
      <xdr:spPr bwMode="auto">
        <a:xfrm>
          <a:off x="5534025" y="88773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38</xdr:row>
      <xdr:rowOff>76200</xdr:rowOff>
    </xdr:from>
    <xdr:to>
      <xdr:col>11</xdr:col>
      <xdr:colOff>0</xdr:colOff>
      <xdr:row>44</xdr:row>
      <xdr:rowOff>76200</xdr:rowOff>
    </xdr:to>
    <xdr:sp macro="" textlink="">
      <xdr:nvSpPr>
        <xdr:cNvPr id="108" name="Line 2072"/>
        <xdr:cNvSpPr>
          <a:spLocks noChangeShapeType="1"/>
        </xdr:cNvSpPr>
      </xdr:nvSpPr>
      <xdr:spPr bwMode="auto">
        <a:xfrm>
          <a:off x="5238750" y="7677150"/>
          <a:ext cx="295275" cy="12001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152400</xdr:colOff>
      <xdr:row>48</xdr:row>
      <xdr:rowOff>152400</xdr:rowOff>
    </xdr:to>
    <xdr:sp macro="" textlink="">
      <xdr:nvSpPr>
        <xdr:cNvPr id="109" name="Square Rectangle"/>
        <xdr:cNvSpPr/>
      </xdr:nvSpPr>
      <xdr:spPr>
        <a:xfrm>
          <a:off x="838200" y="9601200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48</xdr:row>
      <xdr:rowOff>76200</xdr:rowOff>
    </xdr:from>
    <xdr:to>
      <xdr:col>1</xdr:col>
      <xdr:colOff>0</xdr:colOff>
      <xdr:row>48</xdr:row>
      <xdr:rowOff>76200</xdr:rowOff>
    </xdr:to>
    <xdr:sp macro="" textlink="">
      <xdr:nvSpPr>
        <xdr:cNvPr id="110" name="Line 2073"/>
        <xdr:cNvSpPr>
          <a:spLocks noChangeShapeType="1"/>
        </xdr:cNvSpPr>
      </xdr:nvSpPr>
      <xdr:spPr bwMode="auto">
        <a:xfrm>
          <a:off x="0" y="9677400"/>
          <a:ext cx="8382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95250</xdr:colOff>
      <xdr:row>1</xdr:row>
      <xdr:rowOff>314325</xdr:rowOff>
    </xdr:from>
    <xdr:to>
      <xdr:col>43</xdr:col>
      <xdr:colOff>333375</xdr:colOff>
      <xdr:row>3</xdr:row>
      <xdr:rowOff>9525</xdr:rowOff>
    </xdr:to>
    <xdr:sp macro="" textlink="">
      <xdr:nvSpPr>
        <xdr:cNvPr id="2" name="1 Flecha derecha"/>
        <xdr:cNvSpPr/>
      </xdr:nvSpPr>
      <xdr:spPr>
        <a:xfrm>
          <a:off x="38519100" y="504825"/>
          <a:ext cx="238125" cy="45720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44</xdr:col>
      <xdr:colOff>495300</xdr:colOff>
      <xdr:row>13</xdr:row>
      <xdr:rowOff>228600</xdr:rowOff>
    </xdr:from>
    <xdr:to>
      <xdr:col>44</xdr:col>
      <xdr:colOff>733425</xdr:colOff>
      <xdr:row>14</xdr:row>
      <xdr:rowOff>276225</xdr:rowOff>
    </xdr:to>
    <xdr:sp macro="" textlink="">
      <xdr:nvSpPr>
        <xdr:cNvPr id="3" name="2 Flecha derecha"/>
        <xdr:cNvSpPr/>
      </xdr:nvSpPr>
      <xdr:spPr>
        <a:xfrm>
          <a:off x="40490775" y="3409950"/>
          <a:ext cx="238125" cy="323850"/>
        </a:xfrm>
        <a:prstGeom prst="right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7</xdr:row>
      <xdr:rowOff>0</xdr:rowOff>
    </xdr:from>
    <xdr:to>
      <xdr:col>21</xdr:col>
      <xdr:colOff>152400</xdr:colOff>
      <xdr:row>7</xdr:row>
      <xdr:rowOff>152400</xdr:rowOff>
    </xdr:to>
    <xdr:sp macro="" textlink="">
      <xdr:nvSpPr>
        <xdr:cNvPr id="2" name="Triangle Triangle"/>
        <xdr:cNvSpPr/>
      </xdr:nvSpPr>
      <xdr:spPr>
        <a:xfrm rot="16200000">
          <a:off x="11458575" y="14001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7</xdr:row>
      <xdr:rowOff>76200</xdr:rowOff>
    </xdr:from>
    <xdr:to>
      <xdr:col>21</xdr:col>
      <xdr:colOff>0</xdr:colOff>
      <xdr:row>7</xdr:row>
      <xdr:rowOff>76200</xdr:rowOff>
    </xdr:to>
    <xdr:sp macro="" textlink="">
      <xdr:nvSpPr>
        <xdr:cNvPr id="3" name="Line 1998"/>
        <xdr:cNvSpPr>
          <a:spLocks noChangeShapeType="1"/>
        </xdr:cNvSpPr>
      </xdr:nvSpPr>
      <xdr:spPr bwMode="auto">
        <a:xfrm>
          <a:off x="9782175" y="14763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4</xdr:row>
      <xdr:rowOff>76200</xdr:rowOff>
    </xdr:from>
    <xdr:to>
      <xdr:col>19</xdr:col>
      <xdr:colOff>0</xdr:colOff>
      <xdr:row>7</xdr:row>
      <xdr:rowOff>76200</xdr:rowOff>
    </xdr:to>
    <xdr:sp macro="" textlink="">
      <xdr:nvSpPr>
        <xdr:cNvPr id="4" name="Line 1999"/>
        <xdr:cNvSpPr>
          <a:spLocks noChangeShapeType="1"/>
        </xdr:cNvSpPr>
      </xdr:nvSpPr>
      <xdr:spPr bwMode="auto">
        <a:xfrm>
          <a:off x="9486900" y="876300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2</xdr:row>
      <xdr:rowOff>0</xdr:rowOff>
    </xdr:from>
    <xdr:to>
      <xdr:col>21</xdr:col>
      <xdr:colOff>152400</xdr:colOff>
      <xdr:row>2</xdr:row>
      <xdr:rowOff>152400</xdr:rowOff>
    </xdr:to>
    <xdr:sp macro="" textlink="">
      <xdr:nvSpPr>
        <xdr:cNvPr id="5" name="Triangle Triangle"/>
        <xdr:cNvSpPr/>
      </xdr:nvSpPr>
      <xdr:spPr>
        <a:xfrm rot="16200000">
          <a:off x="11458575" y="4000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2</xdr:row>
      <xdr:rowOff>76200</xdr:rowOff>
    </xdr:from>
    <xdr:to>
      <xdr:col>21</xdr:col>
      <xdr:colOff>0</xdr:colOff>
      <xdr:row>2</xdr:row>
      <xdr:rowOff>76200</xdr:rowOff>
    </xdr:to>
    <xdr:sp macro="" textlink="">
      <xdr:nvSpPr>
        <xdr:cNvPr id="6" name="Line 2000"/>
        <xdr:cNvSpPr>
          <a:spLocks noChangeShapeType="1"/>
        </xdr:cNvSpPr>
      </xdr:nvSpPr>
      <xdr:spPr bwMode="auto">
        <a:xfrm>
          <a:off x="9782175" y="4762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2</xdr:row>
      <xdr:rowOff>76200</xdr:rowOff>
    </xdr:from>
    <xdr:to>
      <xdr:col>19</xdr:col>
      <xdr:colOff>0</xdr:colOff>
      <xdr:row>4</xdr:row>
      <xdr:rowOff>76200</xdr:rowOff>
    </xdr:to>
    <xdr:sp macro="" textlink="">
      <xdr:nvSpPr>
        <xdr:cNvPr id="7" name="Line 2001"/>
        <xdr:cNvSpPr>
          <a:spLocks noChangeShapeType="1"/>
        </xdr:cNvSpPr>
      </xdr:nvSpPr>
      <xdr:spPr bwMode="auto">
        <a:xfrm flipV="1">
          <a:off x="9486900" y="476250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17</xdr:row>
      <xdr:rowOff>0</xdr:rowOff>
    </xdr:from>
    <xdr:to>
      <xdr:col>17</xdr:col>
      <xdr:colOff>152400</xdr:colOff>
      <xdr:row>17</xdr:row>
      <xdr:rowOff>152400</xdr:rowOff>
    </xdr:to>
    <xdr:sp macro="" textlink="">
      <xdr:nvSpPr>
        <xdr:cNvPr id="8" name="Triangle Triangle"/>
        <xdr:cNvSpPr/>
      </xdr:nvSpPr>
      <xdr:spPr>
        <a:xfrm rot="16200000">
          <a:off x="9334500" y="34004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17</xdr:row>
      <xdr:rowOff>76200</xdr:rowOff>
    </xdr:from>
    <xdr:to>
      <xdr:col>21</xdr:col>
      <xdr:colOff>0</xdr:colOff>
      <xdr:row>17</xdr:row>
      <xdr:rowOff>76200</xdr:rowOff>
    </xdr:to>
    <xdr:sp macro="" textlink="">
      <xdr:nvSpPr>
        <xdr:cNvPr id="9" name="Line 2002"/>
        <xdr:cNvSpPr>
          <a:spLocks noChangeShapeType="1"/>
        </xdr:cNvSpPr>
      </xdr:nvSpPr>
      <xdr:spPr bwMode="auto">
        <a:xfrm>
          <a:off x="9486900" y="3476625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17</xdr:row>
      <xdr:rowOff>76200</xdr:rowOff>
    </xdr:from>
    <xdr:to>
      <xdr:col>17</xdr:col>
      <xdr:colOff>0</xdr:colOff>
      <xdr:row>17</xdr:row>
      <xdr:rowOff>76200</xdr:rowOff>
    </xdr:to>
    <xdr:sp macro="" textlink="">
      <xdr:nvSpPr>
        <xdr:cNvPr id="10" name="Line 2003"/>
        <xdr:cNvSpPr>
          <a:spLocks noChangeShapeType="1"/>
        </xdr:cNvSpPr>
      </xdr:nvSpPr>
      <xdr:spPr bwMode="auto">
        <a:xfrm>
          <a:off x="7658100" y="34766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17</xdr:row>
      <xdr:rowOff>76200</xdr:rowOff>
    </xdr:from>
    <xdr:to>
      <xdr:col>15</xdr:col>
      <xdr:colOff>0</xdr:colOff>
      <xdr:row>19</xdr:row>
      <xdr:rowOff>76200</xdr:rowOff>
    </xdr:to>
    <xdr:sp macro="" textlink="">
      <xdr:nvSpPr>
        <xdr:cNvPr id="11" name="Line 2004"/>
        <xdr:cNvSpPr>
          <a:spLocks noChangeShapeType="1"/>
        </xdr:cNvSpPr>
      </xdr:nvSpPr>
      <xdr:spPr bwMode="auto">
        <a:xfrm flipV="1">
          <a:off x="7362825" y="3476625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152400</xdr:colOff>
      <xdr:row>12</xdr:row>
      <xdr:rowOff>152400</xdr:rowOff>
    </xdr:to>
    <xdr:sp macro="" textlink="">
      <xdr:nvSpPr>
        <xdr:cNvPr id="12" name="Triangle Triangle"/>
        <xdr:cNvSpPr/>
      </xdr:nvSpPr>
      <xdr:spPr>
        <a:xfrm rot="16200000">
          <a:off x="9334500" y="24003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12</xdr:row>
      <xdr:rowOff>76200</xdr:rowOff>
    </xdr:from>
    <xdr:to>
      <xdr:col>21</xdr:col>
      <xdr:colOff>0</xdr:colOff>
      <xdr:row>12</xdr:row>
      <xdr:rowOff>76200</xdr:rowOff>
    </xdr:to>
    <xdr:sp macro="" textlink="">
      <xdr:nvSpPr>
        <xdr:cNvPr id="13" name="Line 2005"/>
        <xdr:cNvSpPr>
          <a:spLocks noChangeShapeType="1"/>
        </xdr:cNvSpPr>
      </xdr:nvSpPr>
      <xdr:spPr bwMode="auto">
        <a:xfrm>
          <a:off x="9486900" y="2476500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12</xdr:row>
      <xdr:rowOff>76200</xdr:rowOff>
    </xdr:from>
    <xdr:to>
      <xdr:col>17</xdr:col>
      <xdr:colOff>0</xdr:colOff>
      <xdr:row>12</xdr:row>
      <xdr:rowOff>76200</xdr:rowOff>
    </xdr:to>
    <xdr:sp macro="" textlink="">
      <xdr:nvSpPr>
        <xdr:cNvPr id="14" name="Line 2006"/>
        <xdr:cNvSpPr>
          <a:spLocks noChangeShapeType="1"/>
        </xdr:cNvSpPr>
      </xdr:nvSpPr>
      <xdr:spPr bwMode="auto">
        <a:xfrm>
          <a:off x="7658100" y="24765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8</xdr:row>
      <xdr:rowOff>76200</xdr:rowOff>
    </xdr:from>
    <xdr:to>
      <xdr:col>15</xdr:col>
      <xdr:colOff>0</xdr:colOff>
      <xdr:row>12</xdr:row>
      <xdr:rowOff>76200</xdr:rowOff>
    </xdr:to>
    <xdr:sp macro="" textlink="">
      <xdr:nvSpPr>
        <xdr:cNvPr id="15" name="Line 2007"/>
        <xdr:cNvSpPr>
          <a:spLocks noChangeShapeType="1"/>
        </xdr:cNvSpPr>
      </xdr:nvSpPr>
      <xdr:spPr bwMode="auto">
        <a:xfrm>
          <a:off x="7362825" y="1676400"/>
          <a:ext cx="295275" cy="8001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152400</xdr:colOff>
      <xdr:row>82</xdr:row>
      <xdr:rowOff>152400</xdr:rowOff>
    </xdr:to>
    <xdr:sp macro="" textlink="">
      <xdr:nvSpPr>
        <xdr:cNvPr id="16" name="Triangle Triangle"/>
        <xdr:cNvSpPr/>
      </xdr:nvSpPr>
      <xdr:spPr>
        <a:xfrm rot="16200000">
          <a:off x="7210425" y="164020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152400</xdr:colOff>
      <xdr:row>82</xdr:row>
      <xdr:rowOff>76200</xdr:rowOff>
    </xdr:from>
    <xdr:to>
      <xdr:col>21</xdr:col>
      <xdr:colOff>0</xdr:colOff>
      <xdr:row>82</xdr:row>
      <xdr:rowOff>76200</xdr:rowOff>
    </xdr:to>
    <xdr:sp macro="" textlink="">
      <xdr:nvSpPr>
        <xdr:cNvPr id="17" name="Line 2008"/>
        <xdr:cNvSpPr>
          <a:spLocks noChangeShapeType="1"/>
        </xdr:cNvSpPr>
      </xdr:nvSpPr>
      <xdr:spPr bwMode="auto">
        <a:xfrm>
          <a:off x="7362825" y="16478250"/>
          <a:ext cx="4095750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82</xdr:row>
      <xdr:rowOff>76200</xdr:rowOff>
    </xdr:from>
    <xdr:to>
      <xdr:col>13</xdr:col>
      <xdr:colOff>0</xdr:colOff>
      <xdr:row>82</xdr:row>
      <xdr:rowOff>76200</xdr:rowOff>
    </xdr:to>
    <xdr:sp macro="" textlink="">
      <xdr:nvSpPr>
        <xdr:cNvPr id="18" name="Line 2009"/>
        <xdr:cNvSpPr>
          <a:spLocks noChangeShapeType="1"/>
        </xdr:cNvSpPr>
      </xdr:nvSpPr>
      <xdr:spPr bwMode="auto">
        <a:xfrm>
          <a:off x="5534025" y="164782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79</xdr:row>
      <xdr:rowOff>76200</xdr:rowOff>
    </xdr:from>
    <xdr:to>
      <xdr:col>11</xdr:col>
      <xdr:colOff>0</xdr:colOff>
      <xdr:row>82</xdr:row>
      <xdr:rowOff>76200</xdr:rowOff>
    </xdr:to>
    <xdr:sp macro="" textlink="">
      <xdr:nvSpPr>
        <xdr:cNvPr id="19" name="Line 2010"/>
        <xdr:cNvSpPr>
          <a:spLocks noChangeShapeType="1"/>
        </xdr:cNvSpPr>
      </xdr:nvSpPr>
      <xdr:spPr bwMode="auto">
        <a:xfrm>
          <a:off x="5238750" y="15878175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152400</xdr:colOff>
      <xdr:row>77</xdr:row>
      <xdr:rowOff>152400</xdr:rowOff>
    </xdr:to>
    <xdr:sp macro="" textlink="">
      <xdr:nvSpPr>
        <xdr:cNvPr id="20" name="Triangle Triangle"/>
        <xdr:cNvSpPr/>
      </xdr:nvSpPr>
      <xdr:spPr>
        <a:xfrm rot="16200000">
          <a:off x="7210425" y="154019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152400</xdr:colOff>
      <xdr:row>77</xdr:row>
      <xdr:rowOff>76200</xdr:rowOff>
    </xdr:from>
    <xdr:to>
      <xdr:col>21</xdr:col>
      <xdr:colOff>0</xdr:colOff>
      <xdr:row>77</xdr:row>
      <xdr:rowOff>76200</xdr:rowOff>
    </xdr:to>
    <xdr:sp macro="" textlink="">
      <xdr:nvSpPr>
        <xdr:cNvPr id="21" name="Line 2011"/>
        <xdr:cNvSpPr>
          <a:spLocks noChangeShapeType="1"/>
        </xdr:cNvSpPr>
      </xdr:nvSpPr>
      <xdr:spPr bwMode="auto">
        <a:xfrm>
          <a:off x="7362825" y="15478125"/>
          <a:ext cx="4095750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11</xdr:col>
      <xdr:colOff>0</xdr:colOff>
      <xdr:row>77</xdr:row>
      <xdr:rowOff>76200</xdr:rowOff>
    </xdr:from>
    <xdr:to>
      <xdr:col>13</xdr:col>
      <xdr:colOff>0</xdr:colOff>
      <xdr:row>77</xdr:row>
      <xdr:rowOff>76200</xdr:rowOff>
    </xdr:to>
    <xdr:sp macro="" textlink="">
      <xdr:nvSpPr>
        <xdr:cNvPr id="22" name="Line 2012"/>
        <xdr:cNvSpPr>
          <a:spLocks noChangeShapeType="1"/>
        </xdr:cNvSpPr>
      </xdr:nvSpPr>
      <xdr:spPr bwMode="auto">
        <a:xfrm>
          <a:off x="5534025" y="154781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77</xdr:row>
      <xdr:rowOff>76200</xdr:rowOff>
    </xdr:from>
    <xdr:to>
      <xdr:col>11</xdr:col>
      <xdr:colOff>0</xdr:colOff>
      <xdr:row>79</xdr:row>
      <xdr:rowOff>76200</xdr:rowOff>
    </xdr:to>
    <xdr:sp macro="" textlink="">
      <xdr:nvSpPr>
        <xdr:cNvPr id="23" name="Line 2013"/>
        <xdr:cNvSpPr>
          <a:spLocks noChangeShapeType="1"/>
        </xdr:cNvSpPr>
      </xdr:nvSpPr>
      <xdr:spPr bwMode="auto">
        <a:xfrm flipV="1">
          <a:off x="5238750" y="15478125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4</xdr:row>
      <xdr:rowOff>0</xdr:rowOff>
    </xdr:from>
    <xdr:to>
      <xdr:col>17</xdr:col>
      <xdr:colOff>152400</xdr:colOff>
      <xdr:row>4</xdr:row>
      <xdr:rowOff>152400</xdr:rowOff>
    </xdr:to>
    <xdr:sp macro="" textlink="">
      <xdr:nvSpPr>
        <xdr:cNvPr id="24" name="Circle Oval"/>
        <xdr:cNvSpPr/>
      </xdr:nvSpPr>
      <xdr:spPr>
        <a:xfrm>
          <a:off x="9334500" y="8001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4</xdr:row>
      <xdr:rowOff>76200</xdr:rowOff>
    </xdr:from>
    <xdr:to>
      <xdr:col>17</xdr:col>
      <xdr:colOff>0</xdr:colOff>
      <xdr:row>4</xdr:row>
      <xdr:rowOff>76200</xdr:rowOff>
    </xdr:to>
    <xdr:sp macro="" textlink="">
      <xdr:nvSpPr>
        <xdr:cNvPr id="25" name="Line 2014"/>
        <xdr:cNvSpPr>
          <a:spLocks noChangeShapeType="1"/>
        </xdr:cNvSpPr>
      </xdr:nvSpPr>
      <xdr:spPr bwMode="auto">
        <a:xfrm>
          <a:off x="7658100" y="8763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4</xdr:row>
      <xdr:rowOff>76200</xdr:rowOff>
    </xdr:from>
    <xdr:to>
      <xdr:col>15</xdr:col>
      <xdr:colOff>0</xdr:colOff>
      <xdr:row>8</xdr:row>
      <xdr:rowOff>76200</xdr:rowOff>
    </xdr:to>
    <xdr:sp macro="" textlink="">
      <xdr:nvSpPr>
        <xdr:cNvPr id="26" name="Line 2015"/>
        <xdr:cNvSpPr>
          <a:spLocks noChangeShapeType="1"/>
        </xdr:cNvSpPr>
      </xdr:nvSpPr>
      <xdr:spPr bwMode="auto">
        <a:xfrm flipV="1">
          <a:off x="7362825" y="876300"/>
          <a:ext cx="295275" cy="8001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152400</xdr:colOff>
      <xdr:row>71</xdr:row>
      <xdr:rowOff>152400</xdr:rowOff>
    </xdr:to>
    <xdr:sp macro="" textlink="">
      <xdr:nvSpPr>
        <xdr:cNvPr id="27" name="Circle Oval"/>
        <xdr:cNvSpPr/>
      </xdr:nvSpPr>
      <xdr:spPr>
        <a:xfrm>
          <a:off x="2962275" y="142017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71</xdr:row>
      <xdr:rowOff>76200</xdr:rowOff>
    </xdr:from>
    <xdr:to>
      <xdr:col>5</xdr:col>
      <xdr:colOff>0</xdr:colOff>
      <xdr:row>71</xdr:row>
      <xdr:rowOff>76200</xdr:rowOff>
    </xdr:to>
    <xdr:sp macro="" textlink="">
      <xdr:nvSpPr>
        <xdr:cNvPr id="28" name="Line 2016"/>
        <xdr:cNvSpPr>
          <a:spLocks noChangeShapeType="1"/>
        </xdr:cNvSpPr>
      </xdr:nvSpPr>
      <xdr:spPr bwMode="auto">
        <a:xfrm>
          <a:off x="1285875" y="142779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</xdr:col>
      <xdr:colOff>152400</xdr:colOff>
      <xdr:row>48</xdr:row>
      <xdr:rowOff>76200</xdr:rowOff>
    </xdr:from>
    <xdr:to>
      <xdr:col>3</xdr:col>
      <xdr:colOff>0</xdr:colOff>
      <xdr:row>71</xdr:row>
      <xdr:rowOff>76200</xdr:rowOff>
    </xdr:to>
    <xdr:sp macro="" textlink="">
      <xdr:nvSpPr>
        <xdr:cNvPr id="29" name="Line 2017"/>
        <xdr:cNvSpPr>
          <a:spLocks noChangeShapeType="1"/>
        </xdr:cNvSpPr>
      </xdr:nvSpPr>
      <xdr:spPr bwMode="auto">
        <a:xfrm>
          <a:off x="990600" y="9677400"/>
          <a:ext cx="295275" cy="46005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72</xdr:row>
      <xdr:rowOff>0</xdr:rowOff>
    </xdr:from>
    <xdr:to>
      <xdr:col>17</xdr:col>
      <xdr:colOff>152400</xdr:colOff>
      <xdr:row>72</xdr:row>
      <xdr:rowOff>152400</xdr:rowOff>
    </xdr:to>
    <xdr:sp macro="" textlink="">
      <xdr:nvSpPr>
        <xdr:cNvPr id="30" name="Triangle Triangle"/>
        <xdr:cNvSpPr/>
      </xdr:nvSpPr>
      <xdr:spPr>
        <a:xfrm rot="16200000">
          <a:off x="9334500" y="144018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72</xdr:row>
      <xdr:rowOff>76200</xdr:rowOff>
    </xdr:from>
    <xdr:to>
      <xdr:col>21</xdr:col>
      <xdr:colOff>0</xdr:colOff>
      <xdr:row>72</xdr:row>
      <xdr:rowOff>76200</xdr:rowOff>
    </xdr:to>
    <xdr:sp macro="" textlink="">
      <xdr:nvSpPr>
        <xdr:cNvPr id="31" name="Line 2018"/>
        <xdr:cNvSpPr>
          <a:spLocks noChangeShapeType="1"/>
        </xdr:cNvSpPr>
      </xdr:nvSpPr>
      <xdr:spPr bwMode="auto">
        <a:xfrm>
          <a:off x="9486900" y="14478000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72</xdr:row>
      <xdr:rowOff>76200</xdr:rowOff>
    </xdr:from>
    <xdr:to>
      <xdr:col>17</xdr:col>
      <xdr:colOff>0</xdr:colOff>
      <xdr:row>72</xdr:row>
      <xdr:rowOff>76200</xdr:rowOff>
    </xdr:to>
    <xdr:sp macro="" textlink="">
      <xdr:nvSpPr>
        <xdr:cNvPr id="32" name="Line 2019"/>
        <xdr:cNvSpPr>
          <a:spLocks noChangeShapeType="1"/>
        </xdr:cNvSpPr>
      </xdr:nvSpPr>
      <xdr:spPr bwMode="auto">
        <a:xfrm>
          <a:off x="7658100" y="144780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69</xdr:row>
      <xdr:rowOff>76200</xdr:rowOff>
    </xdr:from>
    <xdr:to>
      <xdr:col>15</xdr:col>
      <xdr:colOff>0</xdr:colOff>
      <xdr:row>72</xdr:row>
      <xdr:rowOff>76200</xdr:rowOff>
    </xdr:to>
    <xdr:sp macro="" textlink="">
      <xdr:nvSpPr>
        <xdr:cNvPr id="33" name="Line 2020"/>
        <xdr:cNvSpPr>
          <a:spLocks noChangeShapeType="1"/>
        </xdr:cNvSpPr>
      </xdr:nvSpPr>
      <xdr:spPr bwMode="auto">
        <a:xfrm>
          <a:off x="7362825" y="13877925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67</xdr:row>
      <xdr:rowOff>0</xdr:rowOff>
    </xdr:from>
    <xdr:to>
      <xdr:col>17</xdr:col>
      <xdr:colOff>152400</xdr:colOff>
      <xdr:row>67</xdr:row>
      <xdr:rowOff>152400</xdr:rowOff>
    </xdr:to>
    <xdr:sp macro="" textlink="">
      <xdr:nvSpPr>
        <xdr:cNvPr id="34" name="Triangle Triangle"/>
        <xdr:cNvSpPr/>
      </xdr:nvSpPr>
      <xdr:spPr>
        <a:xfrm rot="16200000">
          <a:off x="9334500" y="134016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67</xdr:row>
      <xdr:rowOff>76200</xdr:rowOff>
    </xdr:from>
    <xdr:to>
      <xdr:col>21</xdr:col>
      <xdr:colOff>0</xdr:colOff>
      <xdr:row>67</xdr:row>
      <xdr:rowOff>76200</xdr:rowOff>
    </xdr:to>
    <xdr:sp macro="" textlink="">
      <xdr:nvSpPr>
        <xdr:cNvPr id="35" name="Line 2021"/>
        <xdr:cNvSpPr>
          <a:spLocks noChangeShapeType="1"/>
        </xdr:cNvSpPr>
      </xdr:nvSpPr>
      <xdr:spPr bwMode="auto">
        <a:xfrm>
          <a:off x="9486900" y="13477875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67</xdr:row>
      <xdr:rowOff>76200</xdr:rowOff>
    </xdr:from>
    <xdr:to>
      <xdr:col>17</xdr:col>
      <xdr:colOff>0</xdr:colOff>
      <xdr:row>67</xdr:row>
      <xdr:rowOff>76200</xdr:rowOff>
    </xdr:to>
    <xdr:sp macro="" textlink="">
      <xdr:nvSpPr>
        <xdr:cNvPr id="36" name="Line 2022"/>
        <xdr:cNvSpPr>
          <a:spLocks noChangeShapeType="1"/>
        </xdr:cNvSpPr>
      </xdr:nvSpPr>
      <xdr:spPr bwMode="auto">
        <a:xfrm>
          <a:off x="7658100" y="134778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67</xdr:row>
      <xdr:rowOff>76200</xdr:rowOff>
    </xdr:from>
    <xdr:to>
      <xdr:col>15</xdr:col>
      <xdr:colOff>0</xdr:colOff>
      <xdr:row>69</xdr:row>
      <xdr:rowOff>76200</xdr:rowOff>
    </xdr:to>
    <xdr:sp macro="" textlink="">
      <xdr:nvSpPr>
        <xdr:cNvPr id="37" name="Line 2023"/>
        <xdr:cNvSpPr>
          <a:spLocks noChangeShapeType="1"/>
        </xdr:cNvSpPr>
      </xdr:nvSpPr>
      <xdr:spPr bwMode="auto">
        <a:xfrm flipV="1">
          <a:off x="7362825" y="13477875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62</xdr:row>
      <xdr:rowOff>0</xdr:rowOff>
    </xdr:from>
    <xdr:to>
      <xdr:col>17</xdr:col>
      <xdr:colOff>152400</xdr:colOff>
      <xdr:row>62</xdr:row>
      <xdr:rowOff>152400</xdr:rowOff>
    </xdr:to>
    <xdr:sp macro="" textlink="">
      <xdr:nvSpPr>
        <xdr:cNvPr id="38" name="Triangle Triangle"/>
        <xdr:cNvSpPr/>
      </xdr:nvSpPr>
      <xdr:spPr>
        <a:xfrm rot="16200000">
          <a:off x="9334500" y="124015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62</xdr:row>
      <xdr:rowOff>76200</xdr:rowOff>
    </xdr:from>
    <xdr:to>
      <xdr:col>21</xdr:col>
      <xdr:colOff>0</xdr:colOff>
      <xdr:row>62</xdr:row>
      <xdr:rowOff>76200</xdr:rowOff>
    </xdr:to>
    <xdr:sp macro="" textlink="">
      <xdr:nvSpPr>
        <xdr:cNvPr id="39" name="Line 2024"/>
        <xdr:cNvSpPr>
          <a:spLocks noChangeShapeType="1"/>
        </xdr:cNvSpPr>
      </xdr:nvSpPr>
      <xdr:spPr bwMode="auto">
        <a:xfrm>
          <a:off x="9486900" y="12477750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62</xdr:row>
      <xdr:rowOff>76200</xdr:rowOff>
    </xdr:from>
    <xdr:to>
      <xdr:col>17</xdr:col>
      <xdr:colOff>0</xdr:colOff>
      <xdr:row>62</xdr:row>
      <xdr:rowOff>76200</xdr:rowOff>
    </xdr:to>
    <xdr:sp macro="" textlink="">
      <xdr:nvSpPr>
        <xdr:cNvPr id="40" name="Line 2025"/>
        <xdr:cNvSpPr>
          <a:spLocks noChangeShapeType="1"/>
        </xdr:cNvSpPr>
      </xdr:nvSpPr>
      <xdr:spPr bwMode="auto">
        <a:xfrm>
          <a:off x="7658100" y="124777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58</xdr:row>
      <xdr:rowOff>76200</xdr:rowOff>
    </xdr:from>
    <xdr:to>
      <xdr:col>15</xdr:col>
      <xdr:colOff>0</xdr:colOff>
      <xdr:row>62</xdr:row>
      <xdr:rowOff>76200</xdr:rowOff>
    </xdr:to>
    <xdr:sp macro="" textlink="">
      <xdr:nvSpPr>
        <xdr:cNvPr id="41" name="Line 2026"/>
        <xdr:cNvSpPr>
          <a:spLocks noChangeShapeType="1"/>
        </xdr:cNvSpPr>
      </xdr:nvSpPr>
      <xdr:spPr bwMode="auto">
        <a:xfrm>
          <a:off x="7362825" y="11677650"/>
          <a:ext cx="295275" cy="8001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54</xdr:row>
      <xdr:rowOff>0</xdr:rowOff>
    </xdr:from>
    <xdr:to>
      <xdr:col>17</xdr:col>
      <xdr:colOff>152400</xdr:colOff>
      <xdr:row>54</xdr:row>
      <xdr:rowOff>152400</xdr:rowOff>
    </xdr:to>
    <xdr:sp macro="" textlink="">
      <xdr:nvSpPr>
        <xdr:cNvPr id="42" name="Circle Oval"/>
        <xdr:cNvSpPr/>
      </xdr:nvSpPr>
      <xdr:spPr>
        <a:xfrm>
          <a:off x="9334500" y="108013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54</xdr:row>
      <xdr:rowOff>76200</xdr:rowOff>
    </xdr:from>
    <xdr:to>
      <xdr:col>17</xdr:col>
      <xdr:colOff>0</xdr:colOff>
      <xdr:row>54</xdr:row>
      <xdr:rowOff>76200</xdr:rowOff>
    </xdr:to>
    <xdr:sp macro="" textlink="">
      <xdr:nvSpPr>
        <xdr:cNvPr id="43" name="Line 2027"/>
        <xdr:cNvSpPr>
          <a:spLocks noChangeShapeType="1"/>
        </xdr:cNvSpPr>
      </xdr:nvSpPr>
      <xdr:spPr bwMode="auto">
        <a:xfrm>
          <a:off x="7658100" y="108775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54</xdr:row>
      <xdr:rowOff>76200</xdr:rowOff>
    </xdr:from>
    <xdr:to>
      <xdr:col>15</xdr:col>
      <xdr:colOff>0</xdr:colOff>
      <xdr:row>58</xdr:row>
      <xdr:rowOff>76200</xdr:rowOff>
    </xdr:to>
    <xdr:sp macro="" textlink="">
      <xdr:nvSpPr>
        <xdr:cNvPr id="44" name="Line 2028"/>
        <xdr:cNvSpPr>
          <a:spLocks noChangeShapeType="1"/>
        </xdr:cNvSpPr>
      </xdr:nvSpPr>
      <xdr:spPr bwMode="auto">
        <a:xfrm flipV="1">
          <a:off x="7362825" y="10877550"/>
          <a:ext cx="295275" cy="8001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69</xdr:row>
      <xdr:rowOff>0</xdr:rowOff>
    </xdr:from>
    <xdr:to>
      <xdr:col>13</xdr:col>
      <xdr:colOff>152400</xdr:colOff>
      <xdr:row>69</xdr:row>
      <xdr:rowOff>152400</xdr:rowOff>
    </xdr:to>
    <xdr:sp macro="" textlink="">
      <xdr:nvSpPr>
        <xdr:cNvPr id="45" name="Circle Oval"/>
        <xdr:cNvSpPr/>
      </xdr:nvSpPr>
      <xdr:spPr>
        <a:xfrm>
          <a:off x="7210425" y="138017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69</xdr:row>
      <xdr:rowOff>76200</xdr:rowOff>
    </xdr:from>
    <xdr:to>
      <xdr:col>13</xdr:col>
      <xdr:colOff>0</xdr:colOff>
      <xdr:row>69</xdr:row>
      <xdr:rowOff>76200</xdr:rowOff>
    </xdr:to>
    <xdr:sp macro="" textlink="">
      <xdr:nvSpPr>
        <xdr:cNvPr id="46" name="Line 2029"/>
        <xdr:cNvSpPr>
          <a:spLocks noChangeShapeType="1"/>
        </xdr:cNvSpPr>
      </xdr:nvSpPr>
      <xdr:spPr bwMode="auto">
        <a:xfrm>
          <a:off x="5534025" y="138779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63</xdr:row>
      <xdr:rowOff>76200</xdr:rowOff>
    </xdr:from>
    <xdr:to>
      <xdr:col>11</xdr:col>
      <xdr:colOff>0</xdr:colOff>
      <xdr:row>69</xdr:row>
      <xdr:rowOff>76200</xdr:rowOff>
    </xdr:to>
    <xdr:sp macro="" textlink="">
      <xdr:nvSpPr>
        <xdr:cNvPr id="47" name="Line 2030"/>
        <xdr:cNvSpPr>
          <a:spLocks noChangeShapeType="1"/>
        </xdr:cNvSpPr>
      </xdr:nvSpPr>
      <xdr:spPr bwMode="auto">
        <a:xfrm>
          <a:off x="5238750" y="12677775"/>
          <a:ext cx="295275" cy="12001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152400</xdr:colOff>
      <xdr:row>58</xdr:row>
      <xdr:rowOff>152400</xdr:rowOff>
    </xdr:to>
    <xdr:sp macro="" textlink="">
      <xdr:nvSpPr>
        <xdr:cNvPr id="48" name="Circle Oval"/>
        <xdr:cNvSpPr/>
      </xdr:nvSpPr>
      <xdr:spPr>
        <a:xfrm>
          <a:off x="7210425" y="1160145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58</xdr:row>
      <xdr:rowOff>76200</xdr:rowOff>
    </xdr:from>
    <xdr:to>
      <xdr:col>13</xdr:col>
      <xdr:colOff>0</xdr:colOff>
      <xdr:row>58</xdr:row>
      <xdr:rowOff>76200</xdr:rowOff>
    </xdr:to>
    <xdr:sp macro="" textlink="">
      <xdr:nvSpPr>
        <xdr:cNvPr id="49" name="Line 2031"/>
        <xdr:cNvSpPr>
          <a:spLocks noChangeShapeType="1"/>
        </xdr:cNvSpPr>
      </xdr:nvSpPr>
      <xdr:spPr bwMode="auto">
        <a:xfrm>
          <a:off x="5534025" y="116776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58</xdr:row>
      <xdr:rowOff>76200</xdr:rowOff>
    </xdr:from>
    <xdr:to>
      <xdr:col>11</xdr:col>
      <xdr:colOff>0</xdr:colOff>
      <xdr:row>63</xdr:row>
      <xdr:rowOff>76200</xdr:rowOff>
    </xdr:to>
    <xdr:sp macro="" textlink="">
      <xdr:nvSpPr>
        <xdr:cNvPr id="50" name="Line 2032"/>
        <xdr:cNvSpPr>
          <a:spLocks noChangeShapeType="1"/>
        </xdr:cNvSpPr>
      </xdr:nvSpPr>
      <xdr:spPr bwMode="auto">
        <a:xfrm flipV="1">
          <a:off x="5238750" y="11677650"/>
          <a:ext cx="295275" cy="10001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79</xdr:row>
      <xdr:rowOff>0</xdr:rowOff>
    </xdr:from>
    <xdr:to>
      <xdr:col>9</xdr:col>
      <xdr:colOff>152400</xdr:colOff>
      <xdr:row>79</xdr:row>
      <xdr:rowOff>152400</xdr:rowOff>
    </xdr:to>
    <xdr:sp macro="" textlink="">
      <xdr:nvSpPr>
        <xdr:cNvPr id="51" name="Circle Oval"/>
        <xdr:cNvSpPr/>
      </xdr:nvSpPr>
      <xdr:spPr>
        <a:xfrm>
          <a:off x="5086350" y="158019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79</xdr:row>
      <xdr:rowOff>76200</xdr:rowOff>
    </xdr:from>
    <xdr:to>
      <xdr:col>9</xdr:col>
      <xdr:colOff>0</xdr:colOff>
      <xdr:row>79</xdr:row>
      <xdr:rowOff>76200</xdr:rowOff>
    </xdr:to>
    <xdr:sp macro="" textlink="">
      <xdr:nvSpPr>
        <xdr:cNvPr id="52" name="Line 2033"/>
        <xdr:cNvSpPr>
          <a:spLocks noChangeShapeType="1"/>
        </xdr:cNvSpPr>
      </xdr:nvSpPr>
      <xdr:spPr bwMode="auto">
        <a:xfrm>
          <a:off x="3409950" y="158781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71</xdr:row>
      <xdr:rowOff>76200</xdr:rowOff>
    </xdr:from>
    <xdr:to>
      <xdr:col>7</xdr:col>
      <xdr:colOff>0</xdr:colOff>
      <xdr:row>79</xdr:row>
      <xdr:rowOff>76200</xdr:rowOff>
    </xdr:to>
    <xdr:sp macro="" textlink="">
      <xdr:nvSpPr>
        <xdr:cNvPr id="53" name="Line 2034"/>
        <xdr:cNvSpPr>
          <a:spLocks noChangeShapeType="1"/>
        </xdr:cNvSpPr>
      </xdr:nvSpPr>
      <xdr:spPr bwMode="auto">
        <a:xfrm>
          <a:off x="3114675" y="14277975"/>
          <a:ext cx="295275" cy="16002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63</xdr:row>
      <xdr:rowOff>0</xdr:rowOff>
    </xdr:from>
    <xdr:to>
      <xdr:col>9</xdr:col>
      <xdr:colOff>152400</xdr:colOff>
      <xdr:row>63</xdr:row>
      <xdr:rowOff>152400</xdr:rowOff>
    </xdr:to>
    <xdr:sp macro="" textlink="">
      <xdr:nvSpPr>
        <xdr:cNvPr id="54" name="Square Rectangle"/>
        <xdr:cNvSpPr/>
      </xdr:nvSpPr>
      <xdr:spPr>
        <a:xfrm>
          <a:off x="5086350" y="12601575"/>
          <a:ext cx="152400" cy="152400"/>
        </a:xfrm>
        <a:prstGeom prst="rect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gradFill flip="none" rotWithShape="1">
                <a:gsLst>
                  <a:gs pos="0">
                    <a:schemeClr val="accent1">
                      <a:tint val="100000"/>
                      <a:shade val="100000"/>
                      <a:satMod val="130000"/>
                      <a:alpha val="0"/>
                    </a:schemeClr>
                  </a:gs>
                  <a:gs pos="100000">
                    <a:schemeClr val="accent1">
                      <a:tint val="50000"/>
                      <a:shade val="100000"/>
                      <a:satMod val="350000"/>
                      <a:alpha val="0"/>
                    </a:schemeClr>
                  </a:gs>
                </a:gsLst>
                <a:lin ang="16200000" scaled="0"/>
                <a:tileRect/>
              </a:gradFill>
            </a14:hiddenFill>
          </a:ext>
          <a:ext uri="{AF507438-7753-43E0-B8FC-AC1667EBCBE1}">
            <a14:hiddenEffects xmlns:a14="http://schemas.microsoft.com/office/drawing/2010/main"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a14:hiddenEffects>
          </a:ext>
        </a:extLst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63</xdr:row>
      <xdr:rowOff>76200</xdr:rowOff>
    </xdr:from>
    <xdr:to>
      <xdr:col>9</xdr:col>
      <xdr:colOff>0</xdr:colOff>
      <xdr:row>63</xdr:row>
      <xdr:rowOff>76200</xdr:rowOff>
    </xdr:to>
    <xdr:sp macro="" textlink="">
      <xdr:nvSpPr>
        <xdr:cNvPr id="55" name="Line 2035"/>
        <xdr:cNvSpPr>
          <a:spLocks noChangeShapeType="1"/>
        </xdr:cNvSpPr>
      </xdr:nvSpPr>
      <xdr:spPr bwMode="auto">
        <a:xfrm>
          <a:off x="3409950" y="126777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63</xdr:row>
      <xdr:rowOff>76200</xdr:rowOff>
    </xdr:from>
    <xdr:to>
      <xdr:col>7</xdr:col>
      <xdr:colOff>0</xdr:colOff>
      <xdr:row>71</xdr:row>
      <xdr:rowOff>76200</xdr:rowOff>
    </xdr:to>
    <xdr:sp macro="" textlink="">
      <xdr:nvSpPr>
        <xdr:cNvPr id="56" name="Line 2036"/>
        <xdr:cNvSpPr>
          <a:spLocks noChangeShapeType="1"/>
        </xdr:cNvSpPr>
      </xdr:nvSpPr>
      <xdr:spPr bwMode="auto">
        <a:xfrm flipV="1">
          <a:off x="3114675" y="12677775"/>
          <a:ext cx="295275" cy="16002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152400</xdr:colOff>
      <xdr:row>25</xdr:row>
      <xdr:rowOff>152400</xdr:rowOff>
    </xdr:to>
    <xdr:sp macro="" textlink="">
      <xdr:nvSpPr>
        <xdr:cNvPr id="57" name="Circle Oval"/>
        <xdr:cNvSpPr/>
      </xdr:nvSpPr>
      <xdr:spPr>
        <a:xfrm>
          <a:off x="2962275" y="50006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25</xdr:row>
      <xdr:rowOff>76200</xdr:rowOff>
    </xdr:from>
    <xdr:to>
      <xdr:col>5</xdr:col>
      <xdr:colOff>0</xdr:colOff>
      <xdr:row>25</xdr:row>
      <xdr:rowOff>76200</xdr:rowOff>
    </xdr:to>
    <xdr:sp macro="" textlink="">
      <xdr:nvSpPr>
        <xdr:cNvPr id="58" name="Line 2037"/>
        <xdr:cNvSpPr>
          <a:spLocks noChangeShapeType="1"/>
        </xdr:cNvSpPr>
      </xdr:nvSpPr>
      <xdr:spPr bwMode="auto">
        <a:xfrm>
          <a:off x="1285875" y="50768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</xdr:col>
      <xdr:colOff>152400</xdr:colOff>
      <xdr:row>25</xdr:row>
      <xdr:rowOff>76200</xdr:rowOff>
    </xdr:from>
    <xdr:to>
      <xdr:col>3</xdr:col>
      <xdr:colOff>0</xdr:colOff>
      <xdr:row>48</xdr:row>
      <xdr:rowOff>76200</xdr:rowOff>
    </xdr:to>
    <xdr:sp macro="" textlink="">
      <xdr:nvSpPr>
        <xdr:cNvPr id="59" name="Line 2038"/>
        <xdr:cNvSpPr>
          <a:spLocks noChangeShapeType="1"/>
        </xdr:cNvSpPr>
      </xdr:nvSpPr>
      <xdr:spPr bwMode="auto">
        <a:xfrm flipV="1">
          <a:off x="990600" y="5076825"/>
          <a:ext cx="295275" cy="46005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22</xdr:row>
      <xdr:rowOff>0</xdr:rowOff>
    </xdr:from>
    <xdr:to>
      <xdr:col>17</xdr:col>
      <xdr:colOff>152400</xdr:colOff>
      <xdr:row>22</xdr:row>
      <xdr:rowOff>152400</xdr:rowOff>
    </xdr:to>
    <xdr:sp macro="" textlink="">
      <xdr:nvSpPr>
        <xdr:cNvPr id="60" name="Triangle Triangle"/>
        <xdr:cNvSpPr/>
      </xdr:nvSpPr>
      <xdr:spPr>
        <a:xfrm rot="16200000">
          <a:off x="9334500" y="44005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22</xdr:row>
      <xdr:rowOff>76200</xdr:rowOff>
    </xdr:from>
    <xdr:to>
      <xdr:col>21</xdr:col>
      <xdr:colOff>0</xdr:colOff>
      <xdr:row>22</xdr:row>
      <xdr:rowOff>76200</xdr:rowOff>
    </xdr:to>
    <xdr:sp macro="" textlink="">
      <xdr:nvSpPr>
        <xdr:cNvPr id="61" name="Line 2039"/>
        <xdr:cNvSpPr>
          <a:spLocks noChangeShapeType="1"/>
        </xdr:cNvSpPr>
      </xdr:nvSpPr>
      <xdr:spPr bwMode="auto">
        <a:xfrm>
          <a:off x="9486900" y="4476750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22</xdr:row>
      <xdr:rowOff>76200</xdr:rowOff>
    </xdr:from>
    <xdr:to>
      <xdr:col>17</xdr:col>
      <xdr:colOff>0</xdr:colOff>
      <xdr:row>22</xdr:row>
      <xdr:rowOff>76200</xdr:rowOff>
    </xdr:to>
    <xdr:sp macro="" textlink="">
      <xdr:nvSpPr>
        <xdr:cNvPr id="62" name="Line 2040"/>
        <xdr:cNvSpPr>
          <a:spLocks noChangeShapeType="1"/>
        </xdr:cNvSpPr>
      </xdr:nvSpPr>
      <xdr:spPr bwMode="auto">
        <a:xfrm>
          <a:off x="7658100" y="44767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19</xdr:row>
      <xdr:rowOff>76200</xdr:rowOff>
    </xdr:from>
    <xdr:to>
      <xdr:col>15</xdr:col>
      <xdr:colOff>0</xdr:colOff>
      <xdr:row>22</xdr:row>
      <xdr:rowOff>76200</xdr:rowOff>
    </xdr:to>
    <xdr:sp macro="" textlink="">
      <xdr:nvSpPr>
        <xdr:cNvPr id="63" name="Line 2041"/>
        <xdr:cNvSpPr>
          <a:spLocks noChangeShapeType="1"/>
        </xdr:cNvSpPr>
      </xdr:nvSpPr>
      <xdr:spPr bwMode="auto">
        <a:xfrm>
          <a:off x="7362825" y="3876675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152400</xdr:colOff>
      <xdr:row>8</xdr:row>
      <xdr:rowOff>152400</xdr:rowOff>
    </xdr:to>
    <xdr:sp macro="" textlink="">
      <xdr:nvSpPr>
        <xdr:cNvPr id="64" name="Circle Oval"/>
        <xdr:cNvSpPr/>
      </xdr:nvSpPr>
      <xdr:spPr>
        <a:xfrm>
          <a:off x="7210425" y="16002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8</xdr:row>
      <xdr:rowOff>76200</xdr:rowOff>
    </xdr:from>
    <xdr:to>
      <xdr:col>13</xdr:col>
      <xdr:colOff>0</xdr:colOff>
      <xdr:row>8</xdr:row>
      <xdr:rowOff>76200</xdr:rowOff>
    </xdr:to>
    <xdr:sp macro="" textlink="">
      <xdr:nvSpPr>
        <xdr:cNvPr id="65" name="Line 2042"/>
        <xdr:cNvSpPr>
          <a:spLocks noChangeShapeType="1"/>
        </xdr:cNvSpPr>
      </xdr:nvSpPr>
      <xdr:spPr bwMode="auto">
        <a:xfrm>
          <a:off x="5534025" y="16764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8</xdr:row>
      <xdr:rowOff>76200</xdr:rowOff>
    </xdr:from>
    <xdr:to>
      <xdr:col>11</xdr:col>
      <xdr:colOff>0</xdr:colOff>
      <xdr:row>13</xdr:row>
      <xdr:rowOff>76200</xdr:rowOff>
    </xdr:to>
    <xdr:sp macro="" textlink="">
      <xdr:nvSpPr>
        <xdr:cNvPr id="66" name="Line 2043"/>
        <xdr:cNvSpPr>
          <a:spLocks noChangeShapeType="1"/>
        </xdr:cNvSpPr>
      </xdr:nvSpPr>
      <xdr:spPr bwMode="auto">
        <a:xfrm flipV="1">
          <a:off x="5238750" y="1676400"/>
          <a:ext cx="295275" cy="10001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57</xdr:row>
      <xdr:rowOff>0</xdr:rowOff>
    </xdr:from>
    <xdr:to>
      <xdr:col>21</xdr:col>
      <xdr:colOff>152400</xdr:colOff>
      <xdr:row>57</xdr:row>
      <xdr:rowOff>152400</xdr:rowOff>
    </xdr:to>
    <xdr:sp macro="" textlink="">
      <xdr:nvSpPr>
        <xdr:cNvPr id="67" name="Triangle Triangle"/>
        <xdr:cNvSpPr/>
      </xdr:nvSpPr>
      <xdr:spPr>
        <a:xfrm rot="16200000">
          <a:off x="11458575" y="114014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57</xdr:row>
      <xdr:rowOff>76200</xdr:rowOff>
    </xdr:from>
    <xdr:to>
      <xdr:col>21</xdr:col>
      <xdr:colOff>0</xdr:colOff>
      <xdr:row>57</xdr:row>
      <xdr:rowOff>76200</xdr:rowOff>
    </xdr:to>
    <xdr:sp macro="" textlink="">
      <xdr:nvSpPr>
        <xdr:cNvPr id="68" name="Line 2044"/>
        <xdr:cNvSpPr>
          <a:spLocks noChangeShapeType="1"/>
        </xdr:cNvSpPr>
      </xdr:nvSpPr>
      <xdr:spPr bwMode="auto">
        <a:xfrm>
          <a:off x="9782175" y="114776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54</xdr:row>
      <xdr:rowOff>76200</xdr:rowOff>
    </xdr:from>
    <xdr:to>
      <xdr:col>19</xdr:col>
      <xdr:colOff>0</xdr:colOff>
      <xdr:row>57</xdr:row>
      <xdr:rowOff>76200</xdr:rowOff>
    </xdr:to>
    <xdr:sp macro="" textlink="">
      <xdr:nvSpPr>
        <xdr:cNvPr id="69" name="Line 2045"/>
        <xdr:cNvSpPr>
          <a:spLocks noChangeShapeType="1"/>
        </xdr:cNvSpPr>
      </xdr:nvSpPr>
      <xdr:spPr bwMode="auto">
        <a:xfrm>
          <a:off x="9486900" y="10877550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152400</xdr:colOff>
      <xdr:row>13</xdr:row>
      <xdr:rowOff>152400</xdr:rowOff>
    </xdr:to>
    <xdr:sp macro="" textlink="">
      <xdr:nvSpPr>
        <xdr:cNvPr id="70" name="Square Rectangle"/>
        <xdr:cNvSpPr/>
      </xdr:nvSpPr>
      <xdr:spPr>
        <a:xfrm>
          <a:off x="5086350" y="2600325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13</xdr:row>
      <xdr:rowOff>76200</xdr:rowOff>
    </xdr:from>
    <xdr:to>
      <xdr:col>9</xdr:col>
      <xdr:colOff>0</xdr:colOff>
      <xdr:row>13</xdr:row>
      <xdr:rowOff>76200</xdr:rowOff>
    </xdr:to>
    <xdr:sp macro="" textlink="">
      <xdr:nvSpPr>
        <xdr:cNvPr id="71" name="Line 2046"/>
        <xdr:cNvSpPr>
          <a:spLocks noChangeShapeType="1"/>
        </xdr:cNvSpPr>
      </xdr:nvSpPr>
      <xdr:spPr bwMode="auto">
        <a:xfrm>
          <a:off x="3409950" y="26765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13</xdr:row>
      <xdr:rowOff>76200</xdr:rowOff>
    </xdr:from>
    <xdr:to>
      <xdr:col>7</xdr:col>
      <xdr:colOff>0</xdr:colOff>
      <xdr:row>25</xdr:row>
      <xdr:rowOff>76200</xdr:rowOff>
    </xdr:to>
    <xdr:sp macro="" textlink="">
      <xdr:nvSpPr>
        <xdr:cNvPr id="72" name="Line 2047"/>
        <xdr:cNvSpPr>
          <a:spLocks noChangeShapeType="1"/>
        </xdr:cNvSpPr>
      </xdr:nvSpPr>
      <xdr:spPr bwMode="auto">
        <a:xfrm flipV="1">
          <a:off x="3114675" y="2676525"/>
          <a:ext cx="295275" cy="24003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152400</xdr:colOff>
      <xdr:row>19</xdr:row>
      <xdr:rowOff>152400</xdr:rowOff>
    </xdr:to>
    <xdr:sp macro="" textlink="">
      <xdr:nvSpPr>
        <xdr:cNvPr id="73" name="Circle Oval"/>
        <xdr:cNvSpPr/>
      </xdr:nvSpPr>
      <xdr:spPr>
        <a:xfrm>
          <a:off x="7210425" y="380047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19</xdr:row>
      <xdr:rowOff>76200</xdr:rowOff>
    </xdr:from>
    <xdr:to>
      <xdr:col>13</xdr:col>
      <xdr:colOff>0</xdr:colOff>
      <xdr:row>19</xdr:row>
      <xdr:rowOff>76200</xdr:rowOff>
    </xdr:to>
    <xdr:sp macro="" textlink="">
      <xdr:nvSpPr>
        <xdr:cNvPr id="74" name="Line 2048"/>
        <xdr:cNvSpPr>
          <a:spLocks noChangeShapeType="1"/>
        </xdr:cNvSpPr>
      </xdr:nvSpPr>
      <xdr:spPr bwMode="auto">
        <a:xfrm>
          <a:off x="5534025" y="38766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13</xdr:row>
      <xdr:rowOff>76200</xdr:rowOff>
    </xdr:from>
    <xdr:to>
      <xdr:col>11</xdr:col>
      <xdr:colOff>0</xdr:colOff>
      <xdr:row>19</xdr:row>
      <xdr:rowOff>76200</xdr:rowOff>
    </xdr:to>
    <xdr:sp macro="" textlink="">
      <xdr:nvSpPr>
        <xdr:cNvPr id="75" name="Line 2049"/>
        <xdr:cNvSpPr>
          <a:spLocks noChangeShapeType="1"/>
        </xdr:cNvSpPr>
      </xdr:nvSpPr>
      <xdr:spPr bwMode="auto">
        <a:xfrm>
          <a:off x="5238750" y="2676525"/>
          <a:ext cx="295275" cy="12001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52</xdr:row>
      <xdr:rowOff>0</xdr:rowOff>
    </xdr:from>
    <xdr:to>
      <xdr:col>21</xdr:col>
      <xdr:colOff>152400</xdr:colOff>
      <xdr:row>52</xdr:row>
      <xdr:rowOff>152400</xdr:rowOff>
    </xdr:to>
    <xdr:sp macro="" textlink="">
      <xdr:nvSpPr>
        <xdr:cNvPr id="76" name="Triangle Triangle"/>
        <xdr:cNvSpPr/>
      </xdr:nvSpPr>
      <xdr:spPr>
        <a:xfrm rot="16200000">
          <a:off x="11458575" y="104013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52</xdr:row>
      <xdr:rowOff>76200</xdr:rowOff>
    </xdr:from>
    <xdr:to>
      <xdr:col>21</xdr:col>
      <xdr:colOff>0</xdr:colOff>
      <xdr:row>52</xdr:row>
      <xdr:rowOff>76200</xdr:rowOff>
    </xdr:to>
    <xdr:sp macro="" textlink="">
      <xdr:nvSpPr>
        <xdr:cNvPr id="77" name="Line 2050"/>
        <xdr:cNvSpPr>
          <a:spLocks noChangeShapeType="1"/>
        </xdr:cNvSpPr>
      </xdr:nvSpPr>
      <xdr:spPr bwMode="auto">
        <a:xfrm>
          <a:off x="9782175" y="104775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52</xdr:row>
      <xdr:rowOff>76200</xdr:rowOff>
    </xdr:from>
    <xdr:to>
      <xdr:col>19</xdr:col>
      <xdr:colOff>0</xdr:colOff>
      <xdr:row>54</xdr:row>
      <xdr:rowOff>76200</xdr:rowOff>
    </xdr:to>
    <xdr:sp macro="" textlink="">
      <xdr:nvSpPr>
        <xdr:cNvPr id="78" name="Line 2051"/>
        <xdr:cNvSpPr>
          <a:spLocks noChangeShapeType="1"/>
        </xdr:cNvSpPr>
      </xdr:nvSpPr>
      <xdr:spPr bwMode="auto">
        <a:xfrm flipV="1">
          <a:off x="9486900" y="10477500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152400</xdr:colOff>
      <xdr:row>38</xdr:row>
      <xdr:rowOff>152400</xdr:rowOff>
    </xdr:to>
    <xdr:sp macro="" textlink="">
      <xdr:nvSpPr>
        <xdr:cNvPr id="79" name="Square Rectangle"/>
        <xdr:cNvSpPr/>
      </xdr:nvSpPr>
      <xdr:spPr>
        <a:xfrm>
          <a:off x="5086350" y="7600950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38</xdr:row>
      <xdr:rowOff>76200</xdr:rowOff>
    </xdr:from>
    <xdr:to>
      <xdr:col>9</xdr:col>
      <xdr:colOff>0</xdr:colOff>
      <xdr:row>38</xdr:row>
      <xdr:rowOff>76200</xdr:rowOff>
    </xdr:to>
    <xdr:sp macro="" textlink="">
      <xdr:nvSpPr>
        <xdr:cNvPr id="80" name="Line 2052"/>
        <xdr:cNvSpPr>
          <a:spLocks noChangeShapeType="1"/>
        </xdr:cNvSpPr>
      </xdr:nvSpPr>
      <xdr:spPr bwMode="auto">
        <a:xfrm>
          <a:off x="3409950" y="76771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5</xdr:col>
      <xdr:colOff>152400</xdr:colOff>
      <xdr:row>25</xdr:row>
      <xdr:rowOff>76200</xdr:rowOff>
    </xdr:from>
    <xdr:to>
      <xdr:col>7</xdr:col>
      <xdr:colOff>0</xdr:colOff>
      <xdr:row>38</xdr:row>
      <xdr:rowOff>76200</xdr:rowOff>
    </xdr:to>
    <xdr:sp macro="" textlink="">
      <xdr:nvSpPr>
        <xdr:cNvPr id="81" name="Line 2053"/>
        <xdr:cNvSpPr>
          <a:spLocks noChangeShapeType="1"/>
        </xdr:cNvSpPr>
      </xdr:nvSpPr>
      <xdr:spPr bwMode="auto">
        <a:xfrm>
          <a:off x="3114675" y="5076825"/>
          <a:ext cx="295275" cy="26003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152400</xdr:colOff>
      <xdr:row>32</xdr:row>
      <xdr:rowOff>152400</xdr:rowOff>
    </xdr:to>
    <xdr:sp macro="" textlink="">
      <xdr:nvSpPr>
        <xdr:cNvPr id="82" name="Triangle Triangle"/>
        <xdr:cNvSpPr/>
      </xdr:nvSpPr>
      <xdr:spPr>
        <a:xfrm rot="16200000">
          <a:off x="11458575" y="640080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32</xdr:row>
      <xdr:rowOff>76200</xdr:rowOff>
    </xdr:from>
    <xdr:to>
      <xdr:col>21</xdr:col>
      <xdr:colOff>0</xdr:colOff>
      <xdr:row>32</xdr:row>
      <xdr:rowOff>76200</xdr:rowOff>
    </xdr:to>
    <xdr:sp macro="" textlink="">
      <xdr:nvSpPr>
        <xdr:cNvPr id="83" name="Line 2054"/>
        <xdr:cNvSpPr>
          <a:spLocks noChangeShapeType="1"/>
        </xdr:cNvSpPr>
      </xdr:nvSpPr>
      <xdr:spPr bwMode="auto">
        <a:xfrm>
          <a:off x="9782175" y="64770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29</xdr:row>
      <xdr:rowOff>76200</xdr:rowOff>
    </xdr:from>
    <xdr:to>
      <xdr:col>19</xdr:col>
      <xdr:colOff>0</xdr:colOff>
      <xdr:row>32</xdr:row>
      <xdr:rowOff>76200</xdr:rowOff>
    </xdr:to>
    <xdr:sp macro="" textlink="">
      <xdr:nvSpPr>
        <xdr:cNvPr id="84" name="Line 2055"/>
        <xdr:cNvSpPr>
          <a:spLocks noChangeShapeType="1"/>
        </xdr:cNvSpPr>
      </xdr:nvSpPr>
      <xdr:spPr bwMode="auto">
        <a:xfrm>
          <a:off x="9486900" y="5876925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21</xdr:col>
      <xdr:colOff>0</xdr:colOff>
      <xdr:row>27</xdr:row>
      <xdr:rowOff>0</xdr:rowOff>
    </xdr:from>
    <xdr:to>
      <xdr:col>21</xdr:col>
      <xdr:colOff>152400</xdr:colOff>
      <xdr:row>27</xdr:row>
      <xdr:rowOff>152400</xdr:rowOff>
    </xdr:to>
    <xdr:sp macro="" textlink="">
      <xdr:nvSpPr>
        <xdr:cNvPr id="85" name="Triangle Triangle"/>
        <xdr:cNvSpPr/>
      </xdr:nvSpPr>
      <xdr:spPr>
        <a:xfrm rot="16200000">
          <a:off x="11458575" y="54006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0</xdr:colOff>
      <xdr:row>27</xdr:row>
      <xdr:rowOff>76200</xdr:rowOff>
    </xdr:from>
    <xdr:to>
      <xdr:col>21</xdr:col>
      <xdr:colOff>0</xdr:colOff>
      <xdr:row>27</xdr:row>
      <xdr:rowOff>76200</xdr:rowOff>
    </xdr:to>
    <xdr:sp macro="" textlink="">
      <xdr:nvSpPr>
        <xdr:cNvPr id="86" name="Line 2056"/>
        <xdr:cNvSpPr>
          <a:spLocks noChangeShapeType="1"/>
        </xdr:cNvSpPr>
      </xdr:nvSpPr>
      <xdr:spPr bwMode="auto">
        <a:xfrm>
          <a:off x="9782175" y="54768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17</xdr:col>
      <xdr:colOff>152400</xdr:colOff>
      <xdr:row>27</xdr:row>
      <xdr:rowOff>76200</xdr:rowOff>
    </xdr:from>
    <xdr:to>
      <xdr:col>19</xdr:col>
      <xdr:colOff>0</xdr:colOff>
      <xdr:row>29</xdr:row>
      <xdr:rowOff>76200</xdr:rowOff>
    </xdr:to>
    <xdr:sp macro="" textlink="">
      <xdr:nvSpPr>
        <xdr:cNvPr id="87" name="Line 2057"/>
        <xdr:cNvSpPr>
          <a:spLocks noChangeShapeType="1"/>
        </xdr:cNvSpPr>
      </xdr:nvSpPr>
      <xdr:spPr bwMode="auto">
        <a:xfrm flipV="1">
          <a:off x="9486900" y="5476875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42</xdr:row>
      <xdr:rowOff>0</xdr:rowOff>
    </xdr:from>
    <xdr:to>
      <xdr:col>17</xdr:col>
      <xdr:colOff>152400</xdr:colOff>
      <xdr:row>42</xdr:row>
      <xdr:rowOff>152400</xdr:rowOff>
    </xdr:to>
    <xdr:sp macro="" textlink="">
      <xdr:nvSpPr>
        <xdr:cNvPr id="88" name="Triangle Triangle"/>
        <xdr:cNvSpPr/>
      </xdr:nvSpPr>
      <xdr:spPr>
        <a:xfrm rot="16200000">
          <a:off x="9334500" y="8401050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42</xdr:row>
      <xdr:rowOff>76200</xdr:rowOff>
    </xdr:from>
    <xdr:to>
      <xdr:col>21</xdr:col>
      <xdr:colOff>0</xdr:colOff>
      <xdr:row>42</xdr:row>
      <xdr:rowOff>76200</xdr:rowOff>
    </xdr:to>
    <xdr:sp macro="" textlink="">
      <xdr:nvSpPr>
        <xdr:cNvPr id="89" name="Line 2058"/>
        <xdr:cNvSpPr>
          <a:spLocks noChangeShapeType="1"/>
        </xdr:cNvSpPr>
      </xdr:nvSpPr>
      <xdr:spPr bwMode="auto">
        <a:xfrm>
          <a:off x="9486900" y="8477250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42</xdr:row>
      <xdr:rowOff>76200</xdr:rowOff>
    </xdr:from>
    <xdr:to>
      <xdr:col>17</xdr:col>
      <xdr:colOff>0</xdr:colOff>
      <xdr:row>42</xdr:row>
      <xdr:rowOff>76200</xdr:rowOff>
    </xdr:to>
    <xdr:sp macro="" textlink="">
      <xdr:nvSpPr>
        <xdr:cNvPr id="90" name="Line 2059"/>
        <xdr:cNvSpPr>
          <a:spLocks noChangeShapeType="1"/>
        </xdr:cNvSpPr>
      </xdr:nvSpPr>
      <xdr:spPr bwMode="auto">
        <a:xfrm>
          <a:off x="7658100" y="847725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42</xdr:row>
      <xdr:rowOff>76200</xdr:rowOff>
    </xdr:from>
    <xdr:to>
      <xdr:col>15</xdr:col>
      <xdr:colOff>0</xdr:colOff>
      <xdr:row>44</xdr:row>
      <xdr:rowOff>76200</xdr:rowOff>
    </xdr:to>
    <xdr:sp macro="" textlink="">
      <xdr:nvSpPr>
        <xdr:cNvPr id="91" name="Line 2060"/>
        <xdr:cNvSpPr>
          <a:spLocks noChangeShapeType="1"/>
        </xdr:cNvSpPr>
      </xdr:nvSpPr>
      <xdr:spPr bwMode="auto">
        <a:xfrm flipV="1">
          <a:off x="7362825" y="8477250"/>
          <a:ext cx="295275" cy="4000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37</xdr:row>
      <xdr:rowOff>0</xdr:rowOff>
    </xdr:from>
    <xdr:to>
      <xdr:col>17</xdr:col>
      <xdr:colOff>152400</xdr:colOff>
      <xdr:row>37</xdr:row>
      <xdr:rowOff>152400</xdr:rowOff>
    </xdr:to>
    <xdr:sp macro="" textlink="">
      <xdr:nvSpPr>
        <xdr:cNvPr id="92" name="Triangle Triangle"/>
        <xdr:cNvSpPr/>
      </xdr:nvSpPr>
      <xdr:spPr>
        <a:xfrm rot="16200000">
          <a:off x="9334500" y="740092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37</xdr:row>
      <xdr:rowOff>76200</xdr:rowOff>
    </xdr:from>
    <xdr:to>
      <xdr:col>21</xdr:col>
      <xdr:colOff>0</xdr:colOff>
      <xdr:row>37</xdr:row>
      <xdr:rowOff>76200</xdr:rowOff>
    </xdr:to>
    <xdr:sp macro="" textlink="">
      <xdr:nvSpPr>
        <xdr:cNvPr id="93" name="Line 2061"/>
        <xdr:cNvSpPr>
          <a:spLocks noChangeShapeType="1"/>
        </xdr:cNvSpPr>
      </xdr:nvSpPr>
      <xdr:spPr bwMode="auto">
        <a:xfrm>
          <a:off x="9486900" y="7477125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37</xdr:row>
      <xdr:rowOff>76200</xdr:rowOff>
    </xdr:from>
    <xdr:to>
      <xdr:col>17</xdr:col>
      <xdr:colOff>0</xdr:colOff>
      <xdr:row>37</xdr:row>
      <xdr:rowOff>76200</xdr:rowOff>
    </xdr:to>
    <xdr:sp macro="" textlink="">
      <xdr:nvSpPr>
        <xdr:cNvPr id="94" name="Line 2062"/>
        <xdr:cNvSpPr>
          <a:spLocks noChangeShapeType="1"/>
        </xdr:cNvSpPr>
      </xdr:nvSpPr>
      <xdr:spPr bwMode="auto">
        <a:xfrm>
          <a:off x="7658100" y="74771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33</xdr:row>
      <xdr:rowOff>76200</xdr:rowOff>
    </xdr:from>
    <xdr:to>
      <xdr:col>15</xdr:col>
      <xdr:colOff>0</xdr:colOff>
      <xdr:row>37</xdr:row>
      <xdr:rowOff>76200</xdr:rowOff>
    </xdr:to>
    <xdr:sp macro="" textlink="">
      <xdr:nvSpPr>
        <xdr:cNvPr id="95" name="Line 2063"/>
        <xdr:cNvSpPr>
          <a:spLocks noChangeShapeType="1"/>
        </xdr:cNvSpPr>
      </xdr:nvSpPr>
      <xdr:spPr bwMode="auto">
        <a:xfrm>
          <a:off x="7362825" y="6677025"/>
          <a:ext cx="295275" cy="8001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29</xdr:row>
      <xdr:rowOff>0</xdr:rowOff>
    </xdr:from>
    <xdr:to>
      <xdr:col>17</xdr:col>
      <xdr:colOff>152400</xdr:colOff>
      <xdr:row>29</xdr:row>
      <xdr:rowOff>152400</xdr:rowOff>
    </xdr:to>
    <xdr:sp macro="" textlink="">
      <xdr:nvSpPr>
        <xdr:cNvPr id="96" name="Circle Oval"/>
        <xdr:cNvSpPr/>
      </xdr:nvSpPr>
      <xdr:spPr>
        <a:xfrm>
          <a:off x="9334500" y="58007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0</xdr:colOff>
      <xdr:row>29</xdr:row>
      <xdr:rowOff>76200</xdr:rowOff>
    </xdr:from>
    <xdr:to>
      <xdr:col>17</xdr:col>
      <xdr:colOff>0</xdr:colOff>
      <xdr:row>29</xdr:row>
      <xdr:rowOff>76200</xdr:rowOff>
    </xdr:to>
    <xdr:sp macro="" textlink="">
      <xdr:nvSpPr>
        <xdr:cNvPr id="97" name="Line 2064"/>
        <xdr:cNvSpPr>
          <a:spLocks noChangeShapeType="1"/>
        </xdr:cNvSpPr>
      </xdr:nvSpPr>
      <xdr:spPr bwMode="auto">
        <a:xfrm>
          <a:off x="7658100" y="58769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29</xdr:row>
      <xdr:rowOff>76200</xdr:rowOff>
    </xdr:from>
    <xdr:to>
      <xdr:col>15</xdr:col>
      <xdr:colOff>0</xdr:colOff>
      <xdr:row>33</xdr:row>
      <xdr:rowOff>76200</xdr:rowOff>
    </xdr:to>
    <xdr:sp macro="" textlink="">
      <xdr:nvSpPr>
        <xdr:cNvPr id="98" name="Line 2065"/>
        <xdr:cNvSpPr>
          <a:spLocks noChangeShapeType="1"/>
        </xdr:cNvSpPr>
      </xdr:nvSpPr>
      <xdr:spPr bwMode="auto">
        <a:xfrm flipV="1">
          <a:off x="7362825" y="5876925"/>
          <a:ext cx="295275" cy="8001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17</xdr:col>
      <xdr:colOff>0</xdr:colOff>
      <xdr:row>47</xdr:row>
      <xdr:rowOff>0</xdr:rowOff>
    </xdr:from>
    <xdr:to>
      <xdr:col>17</xdr:col>
      <xdr:colOff>152400</xdr:colOff>
      <xdr:row>47</xdr:row>
      <xdr:rowOff>152400</xdr:rowOff>
    </xdr:to>
    <xdr:sp macro="" textlink="">
      <xdr:nvSpPr>
        <xdr:cNvPr id="99" name="Triangle Triangle"/>
        <xdr:cNvSpPr/>
      </xdr:nvSpPr>
      <xdr:spPr>
        <a:xfrm rot="16200000">
          <a:off x="9334500" y="9401175"/>
          <a:ext cx="152400" cy="152400"/>
        </a:xfrm>
        <a:prstGeom prst="triangl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152400</xdr:colOff>
      <xdr:row>47</xdr:row>
      <xdr:rowOff>76200</xdr:rowOff>
    </xdr:from>
    <xdr:to>
      <xdr:col>21</xdr:col>
      <xdr:colOff>0</xdr:colOff>
      <xdr:row>47</xdr:row>
      <xdr:rowOff>76200</xdr:rowOff>
    </xdr:to>
    <xdr:sp macro="" textlink="">
      <xdr:nvSpPr>
        <xdr:cNvPr id="100" name="Line 2066"/>
        <xdr:cNvSpPr>
          <a:spLocks noChangeShapeType="1"/>
        </xdr:cNvSpPr>
      </xdr:nvSpPr>
      <xdr:spPr bwMode="auto">
        <a:xfrm>
          <a:off x="9486900" y="9477375"/>
          <a:ext cx="1971675" cy="0"/>
        </a:xfrm>
        <a:prstGeom prst="line">
          <a:avLst/>
        </a:prstGeom>
        <a:noFill/>
        <a:ln w="9525">
          <a:solidFill>
            <a:schemeClr val="accent3"/>
          </a:solidFill>
          <a:prstDash val="dash"/>
          <a:round/>
          <a:headEnd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15</xdr:col>
      <xdr:colOff>0</xdr:colOff>
      <xdr:row>47</xdr:row>
      <xdr:rowOff>76200</xdr:rowOff>
    </xdr:from>
    <xdr:to>
      <xdr:col>17</xdr:col>
      <xdr:colOff>0</xdr:colOff>
      <xdr:row>47</xdr:row>
      <xdr:rowOff>76200</xdr:rowOff>
    </xdr:to>
    <xdr:sp macro="" textlink="">
      <xdr:nvSpPr>
        <xdr:cNvPr id="101" name="Line 2067"/>
        <xdr:cNvSpPr>
          <a:spLocks noChangeShapeType="1"/>
        </xdr:cNvSpPr>
      </xdr:nvSpPr>
      <xdr:spPr bwMode="auto">
        <a:xfrm>
          <a:off x="7658100" y="947737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13</xdr:col>
      <xdr:colOff>152400</xdr:colOff>
      <xdr:row>44</xdr:row>
      <xdr:rowOff>76200</xdr:rowOff>
    </xdr:from>
    <xdr:to>
      <xdr:col>15</xdr:col>
      <xdr:colOff>0</xdr:colOff>
      <xdr:row>47</xdr:row>
      <xdr:rowOff>76200</xdr:rowOff>
    </xdr:to>
    <xdr:sp macro="" textlink="">
      <xdr:nvSpPr>
        <xdr:cNvPr id="102" name="Line 2068"/>
        <xdr:cNvSpPr>
          <a:spLocks noChangeShapeType="1"/>
        </xdr:cNvSpPr>
      </xdr:nvSpPr>
      <xdr:spPr bwMode="auto">
        <a:xfrm>
          <a:off x="7362825" y="8877300"/>
          <a:ext cx="295275" cy="6000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33</xdr:row>
      <xdr:rowOff>0</xdr:rowOff>
    </xdr:from>
    <xdr:to>
      <xdr:col>13</xdr:col>
      <xdr:colOff>152400</xdr:colOff>
      <xdr:row>33</xdr:row>
      <xdr:rowOff>152400</xdr:rowOff>
    </xdr:to>
    <xdr:sp macro="" textlink="">
      <xdr:nvSpPr>
        <xdr:cNvPr id="103" name="Circle Oval"/>
        <xdr:cNvSpPr/>
      </xdr:nvSpPr>
      <xdr:spPr>
        <a:xfrm>
          <a:off x="7210425" y="6600825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33</xdr:row>
      <xdr:rowOff>76200</xdr:rowOff>
    </xdr:from>
    <xdr:to>
      <xdr:col>13</xdr:col>
      <xdr:colOff>0</xdr:colOff>
      <xdr:row>33</xdr:row>
      <xdr:rowOff>76200</xdr:rowOff>
    </xdr:to>
    <xdr:sp macro="" textlink="">
      <xdr:nvSpPr>
        <xdr:cNvPr id="104" name="Line 2069"/>
        <xdr:cNvSpPr>
          <a:spLocks noChangeShapeType="1"/>
        </xdr:cNvSpPr>
      </xdr:nvSpPr>
      <xdr:spPr bwMode="auto">
        <a:xfrm>
          <a:off x="5534025" y="6677025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33</xdr:row>
      <xdr:rowOff>76200</xdr:rowOff>
    </xdr:from>
    <xdr:to>
      <xdr:col>11</xdr:col>
      <xdr:colOff>0</xdr:colOff>
      <xdr:row>38</xdr:row>
      <xdr:rowOff>76200</xdr:rowOff>
    </xdr:to>
    <xdr:sp macro="" textlink="">
      <xdr:nvSpPr>
        <xdr:cNvPr id="105" name="Line 2070"/>
        <xdr:cNvSpPr>
          <a:spLocks noChangeShapeType="1"/>
        </xdr:cNvSpPr>
      </xdr:nvSpPr>
      <xdr:spPr bwMode="auto">
        <a:xfrm flipV="1">
          <a:off x="5238750" y="6677025"/>
          <a:ext cx="295275" cy="100012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152400</xdr:colOff>
      <xdr:row>44</xdr:row>
      <xdr:rowOff>152400</xdr:rowOff>
    </xdr:to>
    <xdr:sp macro="" textlink="">
      <xdr:nvSpPr>
        <xdr:cNvPr id="106" name="Circle Oval"/>
        <xdr:cNvSpPr/>
      </xdr:nvSpPr>
      <xdr:spPr>
        <a:xfrm>
          <a:off x="7210425" y="8801100"/>
          <a:ext cx="152400" cy="152400"/>
        </a:xfrm>
        <a:prstGeom prst="ellips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44</xdr:row>
      <xdr:rowOff>76200</xdr:rowOff>
    </xdr:from>
    <xdr:to>
      <xdr:col>13</xdr:col>
      <xdr:colOff>0</xdr:colOff>
      <xdr:row>44</xdr:row>
      <xdr:rowOff>76200</xdr:rowOff>
    </xdr:to>
    <xdr:sp macro="" textlink="">
      <xdr:nvSpPr>
        <xdr:cNvPr id="107" name="Line 2071"/>
        <xdr:cNvSpPr>
          <a:spLocks noChangeShapeType="1"/>
        </xdr:cNvSpPr>
      </xdr:nvSpPr>
      <xdr:spPr bwMode="auto">
        <a:xfrm>
          <a:off x="5534025" y="8877300"/>
          <a:ext cx="16764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9</xdr:col>
      <xdr:colOff>152400</xdr:colOff>
      <xdr:row>38</xdr:row>
      <xdr:rowOff>76200</xdr:rowOff>
    </xdr:from>
    <xdr:to>
      <xdr:col>11</xdr:col>
      <xdr:colOff>0</xdr:colOff>
      <xdr:row>44</xdr:row>
      <xdr:rowOff>76200</xdr:rowOff>
    </xdr:to>
    <xdr:sp macro="" textlink="">
      <xdr:nvSpPr>
        <xdr:cNvPr id="108" name="Line 2072"/>
        <xdr:cNvSpPr>
          <a:spLocks noChangeShapeType="1"/>
        </xdr:cNvSpPr>
      </xdr:nvSpPr>
      <xdr:spPr bwMode="auto">
        <a:xfrm>
          <a:off x="5238750" y="7677150"/>
          <a:ext cx="295275" cy="12001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152400</xdr:colOff>
      <xdr:row>48</xdr:row>
      <xdr:rowOff>152400</xdr:rowOff>
    </xdr:to>
    <xdr:sp macro="" textlink="">
      <xdr:nvSpPr>
        <xdr:cNvPr id="109" name="Square Rectangle"/>
        <xdr:cNvSpPr/>
      </xdr:nvSpPr>
      <xdr:spPr>
        <a:xfrm>
          <a:off x="838200" y="9601200"/>
          <a:ext cx="152400" cy="1524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48</xdr:row>
      <xdr:rowOff>76200</xdr:rowOff>
    </xdr:from>
    <xdr:to>
      <xdr:col>1</xdr:col>
      <xdr:colOff>0</xdr:colOff>
      <xdr:row>48</xdr:row>
      <xdr:rowOff>76200</xdr:rowOff>
    </xdr:to>
    <xdr:sp macro="" textlink="">
      <xdr:nvSpPr>
        <xdr:cNvPr id="110" name="Line 2073"/>
        <xdr:cNvSpPr>
          <a:spLocks noChangeShapeType="1"/>
        </xdr:cNvSpPr>
      </xdr:nvSpPr>
      <xdr:spPr bwMode="auto">
        <a:xfrm>
          <a:off x="0" y="9677400"/>
          <a:ext cx="838200" cy="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333374</xdr:colOff>
      <xdr:row>20</xdr:row>
      <xdr:rowOff>19051</xdr:rowOff>
    </xdr:from>
    <xdr:to>
      <xdr:col>5</xdr:col>
      <xdr:colOff>438149</xdr:colOff>
      <xdr:row>21</xdr:row>
      <xdr:rowOff>9528</xdr:rowOff>
    </xdr:to>
    <xdr:sp macro="" textlink="">
      <xdr:nvSpPr>
        <xdr:cNvPr id="2" name="1 Cerrar llave"/>
        <xdr:cNvSpPr/>
      </xdr:nvSpPr>
      <xdr:spPr>
        <a:xfrm rot="5400000">
          <a:off x="4481511" y="2405064"/>
          <a:ext cx="152402" cy="2619375"/>
        </a:xfrm>
        <a:prstGeom prst="rightBrac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276221</xdr:colOff>
      <xdr:row>20</xdr:row>
      <xdr:rowOff>0</xdr:rowOff>
    </xdr:from>
    <xdr:to>
      <xdr:col>6</xdr:col>
      <xdr:colOff>552446</xdr:colOff>
      <xdr:row>20</xdr:row>
      <xdr:rowOff>152400</xdr:rowOff>
    </xdr:to>
    <xdr:sp macro="" textlink="">
      <xdr:nvSpPr>
        <xdr:cNvPr id="3" name="2 Flecha abajo"/>
        <xdr:cNvSpPr/>
      </xdr:nvSpPr>
      <xdr:spPr>
        <a:xfrm rot="10800000">
          <a:off x="5943596" y="3571875"/>
          <a:ext cx="276225" cy="152400"/>
        </a:xfrm>
        <a:prstGeom prst="downArrow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OneDrive\MBA\Tesis\TreePla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iginal ExpVal"/>
      <sheetName val="Formatted ExpVal"/>
      <sheetName val="Alternative Model Inputs"/>
      <sheetName val="Risk Utility Unscaled"/>
      <sheetName val="Risk Utility Scaled"/>
      <sheetName val="TreePlan Help"/>
      <sheetName val="TreePlan License"/>
      <sheetName val="Tree Solution"/>
    </sheetNames>
    <sheetDataSet>
      <sheetData sheetId="0"/>
      <sheetData sheetId="1"/>
      <sheetData sheetId="2"/>
      <sheetData sheetId="3"/>
      <sheetData sheetId="4">
        <row r="6">
          <cell r="V6">
            <v>-50000</v>
          </cell>
        </row>
        <row r="7">
          <cell r="V7">
            <v>150000</v>
          </cell>
        </row>
      </sheetData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V1033"/>
  <sheetViews>
    <sheetView showGridLines="0" zoomScale="70" zoomScaleNormal="70" workbookViewId="0">
      <selection activeCell="H4" sqref="H4"/>
    </sheetView>
  </sheetViews>
  <sheetFormatPr baseColWidth="10" defaultRowHeight="14.25" x14ac:dyDescent="0.2"/>
  <cols>
    <col min="1" max="1" width="11.375" style="223" bestFit="1" customWidth="1"/>
    <col min="2" max="2" width="2.25" style="223" customWidth="1"/>
    <col min="3" max="3" width="3.625" style="223" customWidth="1"/>
    <col min="4" max="5" width="11.375" style="223" bestFit="1" customWidth="1"/>
    <col min="6" max="6" width="2.25" style="223" customWidth="1"/>
    <col min="7" max="7" width="3.625" style="223" customWidth="1"/>
    <col min="8" max="8" width="11.375" style="223" bestFit="1" customWidth="1"/>
    <col min="9" max="9" width="12" style="223" bestFit="1" customWidth="1"/>
    <col min="10" max="10" width="2.25" style="223" customWidth="1"/>
    <col min="11" max="11" width="3.625" style="223" customWidth="1"/>
    <col min="12" max="12" width="14.5" style="223" customWidth="1"/>
    <col min="13" max="13" width="13" style="223" customWidth="1"/>
    <col min="14" max="14" width="2.25" style="223" customWidth="1"/>
    <col min="15" max="15" width="3.625" style="223" customWidth="1"/>
    <col min="16" max="16" width="11.125" style="223" bestFit="1" customWidth="1"/>
    <col min="17" max="17" width="11.375" style="223" bestFit="1" customWidth="1"/>
    <col min="18" max="18" width="2.25" style="223" customWidth="1"/>
    <col min="19" max="19" width="3.625" style="223" customWidth="1"/>
    <col min="20" max="20" width="11.125" style="223" bestFit="1" customWidth="1"/>
    <col min="21" max="21" width="11.375" style="223" bestFit="1" customWidth="1"/>
    <col min="22" max="22" width="2.25" style="223" customWidth="1"/>
    <col min="23" max="23" width="12" style="365" bestFit="1" customWidth="1"/>
    <col min="24" max="24" width="7.25" style="365" customWidth="1"/>
    <col min="25" max="25" width="11" style="223"/>
    <col min="26" max="26" width="2.25" style="223" customWidth="1"/>
    <col min="27" max="29" width="11" style="223"/>
    <col min="30" max="30" width="2.25" style="223" customWidth="1"/>
    <col min="31" max="33" width="11" style="223"/>
    <col min="34" max="34" width="2.25" style="223" customWidth="1"/>
    <col min="35" max="188" width="11" style="223"/>
    <col min="189" max="190" width="11.125" style="223" bestFit="1" customWidth="1"/>
    <col min="191" max="191" width="11" style="223"/>
    <col min="192" max="194" width="11.125" style="223" bestFit="1" customWidth="1"/>
    <col min="195" max="195" width="11" style="223"/>
    <col min="196" max="203" width="11.125" style="223" bestFit="1" customWidth="1"/>
    <col min="204" max="204" width="14.25" style="223" bestFit="1" customWidth="1"/>
    <col min="205" max="16384" width="11" style="223"/>
  </cols>
  <sheetData>
    <row r="1" spans="1:25" ht="15" x14ac:dyDescent="0.25">
      <c r="A1" s="222"/>
      <c r="T1" s="352">
        <v>0.9</v>
      </c>
      <c r="W1" s="367"/>
    </row>
    <row r="2" spans="1:25" x14ac:dyDescent="0.2">
      <c r="T2" s="226" t="s">
        <v>122</v>
      </c>
    </row>
    <row r="3" spans="1:25" x14ac:dyDescent="0.2">
      <c r="P3" s="352">
        <v>0.9</v>
      </c>
      <c r="W3" s="364">
        <f>SUM(D27,H15,L10,P6,T4)</f>
        <v>695275</v>
      </c>
      <c r="X3" s="364" t="s">
        <v>267</v>
      </c>
      <c r="Y3" s="292"/>
    </row>
    <row r="4" spans="1:25" x14ac:dyDescent="0.2">
      <c r="P4" s="226" t="s">
        <v>123</v>
      </c>
      <c r="T4" s="360">
        <f>+'Costos China'!Q12</f>
        <v>2380000</v>
      </c>
      <c r="U4" s="361">
        <f>W3</f>
        <v>695275</v>
      </c>
    </row>
    <row r="6" spans="1:25" x14ac:dyDescent="0.2">
      <c r="P6" s="228"/>
      <c r="Q6" s="364">
        <f>IF(ABS(1-(T1+T6))&lt;=0.00001,T1*U4+T6*U9,NA())</f>
        <v>680400</v>
      </c>
      <c r="T6" s="352">
        <v>0.1</v>
      </c>
    </row>
    <row r="7" spans="1:25" x14ac:dyDescent="0.2">
      <c r="T7" s="226" t="s">
        <v>266</v>
      </c>
    </row>
    <row r="8" spans="1:25" x14ac:dyDescent="0.2">
      <c r="L8" s="226" t="s">
        <v>125</v>
      </c>
      <c r="W8" s="364">
        <f>'Costos China'!Q13+SUM(D27,H15,L10,P6,T9)</f>
        <v>546525</v>
      </c>
      <c r="X8" s="364" t="s">
        <v>268</v>
      </c>
      <c r="Y8" s="292"/>
    </row>
    <row r="9" spans="1:25" x14ac:dyDescent="0.2">
      <c r="T9" s="368">
        <f>-'Costos China'!P13</f>
        <v>-29750</v>
      </c>
      <c r="U9" s="361">
        <f>W8</f>
        <v>546525</v>
      </c>
    </row>
    <row r="10" spans="1:25" x14ac:dyDescent="0.2">
      <c r="L10" s="360">
        <f>-'Costos China'!F18</f>
        <v>-200725</v>
      </c>
      <c r="M10" s="361">
        <f>IF(ABS(1-(P3+P11))&lt;=0.00001,P3*Q6+P11*Q14,NA())</f>
        <v>443887.5</v>
      </c>
      <c r="T10" s="363"/>
      <c r="U10" s="363"/>
    </row>
    <row r="11" spans="1:25" x14ac:dyDescent="0.2">
      <c r="L11" s="363"/>
      <c r="M11" s="363"/>
      <c r="P11" s="352">
        <v>0.1</v>
      </c>
    </row>
    <row r="12" spans="1:25" x14ac:dyDescent="0.2">
      <c r="H12" s="352">
        <v>0.65</v>
      </c>
      <c r="P12" s="226" t="s">
        <v>161</v>
      </c>
    </row>
    <row r="13" spans="1:25" x14ac:dyDescent="0.2">
      <c r="H13" s="226" t="s">
        <v>127</v>
      </c>
      <c r="W13" s="364">
        <f>SUM(D27,H15,L10,P14)</f>
        <v>-1684725</v>
      </c>
      <c r="X13" s="364" t="s">
        <v>269</v>
      </c>
    </row>
    <row r="14" spans="1:25" x14ac:dyDescent="0.2">
      <c r="J14" s="223">
        <f>IF(I15=M10,1,IF(I15=M21,2))</f>
        <v>1</v>
      </c>
      <c r="P14" s="272"/>
      <c r="Q14" s="364">
        <f>W13</f>
        <v>-1684725</v>
      </c>
    </row>
    <row r="15" spans="1:25" x14ac:dyDescent="0.2">
      <c r="H15" s="366">
        <v>0</v>
      </c>
      <c r="I15" s="364">
        <f>MAX(M10,M21)</f>
        <v>443887.5</v>
      </c>
    </row>
    <row r="16" spans="1:25" x14ac:dyDescent="0.2">
      <c r="P16" s="352">
        <v>0.15</v>
      </c>
    </row>
    <row r="17" spans="4:24" x14ac:dyDescent="0.2">
      <c r="P17" s="226" t="s">
        <v>122</v>
      </c>
    </row>
    <row r="18" spans="4:24" x14ac:dyDescent="0.2">
      <c r="W18" s="364">
        <f>SUM(D27,H15,L21,P19)</f>
        <v>896000</v>
      </c>
      <c r="X18" s="364" t="s">
        <v>270</v>
      </c>
    </row>
    <row r="19" spans="4:24" x14ac:dyDescent="0.2">
      <c r="L19" s="226" t="s">
        <v>128</v>
      </c>
      <c r="P19" s="360">
        <f>+'Costos China'!Q15</f>
        <v>2380000</v>
      </c>
      <c r="Q19" s="364">
        <f>W18</f>
        <v>896000</v>
      </c>
    </row>
    <row r="21" spans="4:24" x14ac:dyDescent="0.2">
      <c r="L21" s="366">
        <v>0</v>
      </c>
      <c r="M21" s="364">
        <f>IF(ABS(1-(P16+P21))&lt;=0.00001,P16*Q19+P21*Q24,NA())</f>
        <v>-115500</v>
      </c>
      <c r="P21" s="352">
        <v>0.85</v>
      </c>
    </row>
    <row r="22" spans="4:24" x14ac:dyDescent="0.2">
      <c r="P22" s="226" t="s">
        <v>318</v>
      </c>
    </row>
    <row r="23" spans="4:24" x14ac:dyDescent="0.2">
      <c r="W23" s="364">
        <f>'Costos China'!Q16+SUM(D27,H15,L21,P24)</f>
        <v>-294000</v>
      </c>
      <c r="X23" s="364" t="s">
        <v>271</v>
      </c>
    </row>
    <row r="24" spans="4:24" x14ac:dyDescent="0.2">
      <c r="P24" s="360">
        <f>-'Costos China'!P16</f>
        <v>-238000</v>
      </c>
      <c r="Q24" s="364">
        <f>W23</f>
        <v>-294000</v>
      </c>
    </row>
    <row r="25" spans="4:24" x14ac:dyDescent="0.2">
      <c r="D25" s="226" t="s">
        <v>129</v>
      </c>
    </row>
    <row r="26" spans="4:24" x14ac:dyDescent="0.2">
      <c r="T26" s="351">
        <f>+'Costos China'!AD14</f>
        <v>0.75</v>
      </c>
    </row>
    <row r="27" spans="4:24" x14ac:dyDescent="0.2">
      <c r="D27" s="360">
        <f>-'Costo Importar'!I10</f>
        <v>-1484000</v>
      </c>
      <c r="E27" s="361">
        <f>IF(ABS(1-(H12+H37))&lt;=0.00001,H12*I15+H37*I40,NA())</f>
        <v>362670</v>
      </c>
      <c r="T27" s="226" t="s">
        <v>122</v>
      </c>
    </row>
    <row r="28" spans="4:24" x14ac:dyDescent="0.2">
      <c r="P28" s="352">
        <v>0.85</v>
      </c>
      <c r="W28" s="364">
        <f>SUM(D27,H40,L35,P31,T29)</f>
        <v>695275</v>
      </c>
      <c r="X28" s="364" t="s">
        <v>272</v>
      </c>
    </row>
    <row r="29" spans="4:24" x14ac:dyDescent="0.2">
      <c r="P29" s="226" t="s">
        <v>123</v>
      </c>
      <c r="T29" s="360">
        <f>+'Costos China'!Q18</f>
        <v>2380000</v>
      </c>
      <c r="U29" s="361">
        <f>W28</f>
        <v>695275</v>
      </c>
    </row>
    <row r="30" spans="4:24" x14ac:dyDescent="0.2">
      <c r="T30" s="363"/>
      <c r="U30" s="363"/>
    </row>
    <row r="31" spans="4:24" x14ac:dyDescent="0.2">
      <c r="P31" s="360">
        <v>0</v>
      </c>
      <c r="Q31" s="361">
        <f>IF(ABS(1-(T26+T31))&lt;=0.00001,T26*U29+T31*U34,NA())</f>
        <v>546525</v>
      </c>
      <c r="T31" s="351">
        <f>+'Costos China'!AD15</f>
        <v>0.25</v>
      </c>
    </row>
    <row r="32" spans="4:24" x14ac:dyDescent="0.2">
      <c r="P32" s="363"/>
      <c r="Q32" s="363"/>
      <c r="T32" s="226" t="s">
        <v>265</v>
      </c>
    </row>
    <row r="33" spans="1:24" x14ac:dyDescent="0.2">
      <c r="L33" s="226" t="s">
        <v>125</v>
      </c>
      <c r="W33" s="364">
        <f>'Costos China'!Q19+SUM(D27,H40,L35,P31,T34)</f>
        <v>100275</v>
      </c>
      <c r="X33" s="364" t="s">
        <v>273</v>
      </c>
    </row>
    <row r="34" spans="1:24" x14ac:dyDescent="0.2">
      <c r="T34" s="368">
        <f>-'Costos China'!P19</f>
        <v>-119000</v>
      </c>
      <c r="U34" s="361">
        <f>W33</f>
        <v>100275</v>
      </c>
    </row>
    <row r="35" spans="1:24" x14ac:dyDescent="0.2">
      <c r="L35" s="360">
        <f>-'Costos China'!F18</f>
        <v>-200725</v>
      </c>
      <c r="M35" s="361">
        <f>IF(ABS(1-(P28+P36))&lt;=0.00001,P28*Q31+P36*Q39,NA())</f>
        <v>211837.5</v>
      </c>
      <c r="T35" s="363"/>
      <c r="U35" s="363"/>
    </row>
    <row r="36" spans="1:24" x14ac:dyDescent="0.2">
      <c r="L36" s="363"/>
      <c r="M36" s="363"/>
      <c r="P36" s="352">
        <v>0.15</v>
      </c>
    </row>
    <row r="37" spans="1:24" x14ac:dyDescent="0.2">
      <c r="H37" s="352">
        <v>0.35</v>
      </c>
      <c r="P37" s="226" t="s">
        <v>161</v>
      </c>
    </row>
    <row r="38" spans="1:24" x14ac:dyDescent="0.2">
      <c r="H38" s="226" t="s">
        <v>158</v>
      </c>
      <c r="W38" s="364">
        <f>SUM(D27,H40,L35,P39)</f>
        <v>-1684725</v>
      </c>
      <c r="X38" s="364" t="s">
        <v>274</v>
      </c>
    </row>
    <row r="39" spans="1:24" x14ac:dyDescent="0.2">
      <c r="J39" s="223">
        <f>IF(I40=M35,1,IF(I40=M46,2))</f>
        <v>1</v>
      </c>
      <c r="P39" s="272"/>
      <c r="Q39" s="364">
        <f>W38</f>
        <v>-1684725</v>
      </c>
    </row>
    <row r="40" spans="1:24" x14ac:dyDescent="0.2">
      <c r="H40" s="366">
        <v>0</v>
      </c>
      <c r="I40" s="364">
        <f>MAX(M35,M46)</f>
        <v>211837.5</v>
      </c>
    </row>
    <row r="41" spans="1:24" x14ac:dyDescent="0.2">
      <c r="P41" s="352">
        <v>0.05</v>
      </c>
    </row>
    <row r="42" spans="1:24" x14ac:dyDescent="0.2">
      <c r="P42" s="226" t="s">
        <v>122</v>
      </c>
    </row>
    <row r="43" spans="1:24" x14ac:dyDescent="0.2">
      <c r="W43" s="364">
        <f>SUM(D27,H40,L46,P44)</f>
        <v>896000</v>
      </c>
      <c r="X43" s="364" t="s">
        <v>275</v>
      </c>
    </row>
    <row r="44" spans="1:24" x14ac:dyDescent="0.2">
      <c r="L44" s="226" t="s">
        <v>128</v>
      </c>
      <c r="P44" s="360">
        <f>+'Costos China'!Q21</f>
        <v>2380000</v>
      </c>
      <c r="Q44" s="361">
        <f>W43</f>
        <v>896000</v>
      </c>
    </row>
    <row r="46" spans="1:24" x14ac:dyDescent="0.2">
      <c r="L46" s="360">
        <v>0</v>
      </c>
      <c r="M46" s="361">
        <f>IF(ABS(1-(P41+P46))&lt;=0.00001,P41*Q44+P46*Q49,NA())</f>
        <v>-799750</v>
      </c>
      <c r="P46" s="352">
        <v>0.95</v>
      </c>
    </row>
    <row r="47" spans="1:24" x14ac:dyDescent="0.2">
      <c r="P47" s="226" t="s">
        <v>302</v>
      </c>
    </row>
    <row r="48" spans="1:24" x14ac:dyDescent="0.2">
      <c r="A48" s="232"/>
      <c r="W48" s="364">
        <f>'Costos China'!Q22+SUM(D27,H40,L46,P49)</f>
        <v>-889000</v>
      </c>
      <c r="X48" s="364" t="s">
        <v>276</v>
      </c>
    </row>
    <row r="49" spans="1:24" x14ac:dyDescent="0.2">
      <c r="B49" s="223" t="b">
        <f>IF(A50=E27,1,IF(A50=E73,2))</f>
        <v>0</v>
      </c>
      <c r="P49" s="360">
        <f>-'Costos China'!P22</f>
        <v>-357000</v>
      </c>
      <c r="Q49" s="361">
        <f>W48</f>
        <v>-889000</v>
      </c>
    </row>
    <row r="50" spans="1:24" x14ac:dyDescent="0.2">
      <c r="A50" s="229"/>
      <c r="P50" s="363"/>
      <c r="Q50" s="363"/>
    </row>
    <row r="51" spans="1:24" x14ac:dyDescent="0.2">
      <c r="T51" s="352">
        <v>0.95</v>
      </c>
    </row>
    <row r="52" spans="1:24" x14ac:dyDescent="0.2">
      <c r="T52" s="226" t="s">
        <v>122</v>
      </c>
    </row>
    <row r="53" spans="1:24" x14ac:dyDescent="0.2">
      <c r="P53" s="352">
        <v>0.9</v>
      </c>
      <c r="W53" s="364">
        <f>SUM(D73,H65,L60,P56,T54)</f>
        <v>514937.5</v>
      </c>
      <c r="X53" s="364" t="s">
        <v>277</v>
      </c>
    </row>
    <row r="54" spans="1:24" x14ac:dyDescent="0.2">
      <c r="P54" s="226" t="s">
        <v>298</v>
      </c>
      <c r="T54" s="360">
        <f>+'Costo Importar'!M11</f>
        <v>2380000</v>
      </c>
      <c r="U54" s="361">
        <f>W53</f>
        <v>514937.5</v>
      </c>
    </row>
    <row r="56" spans="1:24" x14ac:dyDescent="0.2">
      <c r="P56" s="360">
        <v>0</v>
      </c>
      <c r="Q56" s="361">
        <f>IF(ABS(1-(T51+T56))&lt;=0.00001,T51*U54+T56*U59,NA())</f>
        <v>500062.5</v>
      </c>
      <c r="T56" s="352">
        <v>0.05</v>
      </c>
    </row>
    <row r="57" spans="1:24" x14ac:dyDescent="0.2">
      <c r="P57" s="363"/>
      <c r="Q57" s="363"/>
      <c r="T57" s="226" t="s">
        <v>300</v>
      </c>
    </row>
    <row r="58" spans="1:24" x14ac:dyDescent="0.2">
      <c r="L58" s="226" t="s">
        <v>130</v>
      </c>
      <c r="P58" s="363"/>
      <c r="Q58" s="363"/>
      <c r="W58" s="364">
        <f>'Costos Brasil'!V19+SUM(D73,H65,L60,P56,T59)</f>
        <v>217437.5</v>
      </c>
      <c r="X58" s="364" t="s">
        <v>278</v>
      </c>
    </row>
    <row r="59" spans="1:24" x14ac:dyDescent="0.2">
      <c r="T59" s="360">
        <f>-'Costos Brasil'!U19</f>
        <v>-59500</v>
      </c>
      <c r="U59" s="361">
        <f>W58</f>
        <v>217437.5</v>
      </c>
    </row>
    <row r="60" spans="1:24" x14ac:dyDescent="0.2">
      <c r="L60" s="360">
        <f>-'Costos Brasil'!G18</f>
        <v>-141312.5</v>
      </c>
      <c r="M60" s="361">
        <f>IF(ABS(1-(P53+P61))&lt;=0.00001,P53*Q56+P61*Q64,NA())</f>
        <v>265475</v>
      </c>
      <c r="T60" s="363"/>
      <c r="U60" s="363"/>
    </row>
    <row r="61" spans="1:24" x14ac:dyDescent="0.2">
      <c r="L61" s="363"/>
      <c r="M61" s="363"/>
      <c r="P61" s="352">
        <v>0.1</v>
      </c>
    </row>
    <row r="62" spans="1:24" x14ac:dyDescent="0.2">
      <c r="H62" s="352">
        <v>0.7</v>
      </c>
      <c r="L62" s="363"/>
      <c r="M62" s="363"/>
      <c r="P62" s="226" t="s">
        <v>299</v>
      </c>
    </row>
    <row r="63" spans="1:24" x14ac:dyDescent="0.2">
      <c r="H63" s="226" t="s">
        <v>131</v>
      </c>
      <c r="W63" s="364">
        <f>+'Costos Brasil'!V20+SUM(D73,H65,L60,P64)</f>
        <v>-1845812.5</v>
      </c>
      <c r="X63" s="364" t="s">
        <v>279</v>
      </c>
    </row>
    <row r="64" spans="1:24" x14ac:dyDescent="0.2">
      <c r="J64" s="223">
        <f>IF(I65=M60,1,IF(I65=M71,2))</f>
        <v>2</v>
      </c>
      <c r="P64" s="360">
        <f>+'Costos Brasil'!H18</f>
        <v>19250</v>
      </c>
      <c r="Q64" s="361">
        <f>W63</f>
        <v>-1845812.5</v>
      </c>
    </row>
    <row r="65" spans="4:24" x14ac:dyDescent="0.2">
      <c r="H65" s="360">
        <f>-'Costo Importar'!I11</f>
        <v>-1723750</v>
      </c>
      <c r="I65" s="361">
        <f>MAX(M60,M71)</f>
        <v>498093.75</v>
      </c>
      <c r="P65" s="363"/>
      <c r="Q65" s="363"/>
    </row>
    <row r="66" spans="4:24" x14ac:dyDescent="0.2">
      <c r="H66" s="363"/>
      <c r="I66" s="363"/>
      <c r="P66" s="352">
        <v>0.15</v>
      </c>
    </row>
    <row r="67" spans="4:24" x14ac:dyDescent="0.2">
      <c r="H67" s="363"/>
      <c r="I67" s="363"/>
      <c r="P67" s="226" t="s">
        <v>132</v>
      </c>
    </row>
    <row r="68" spans="4:24" x14ac:dyDescent="0.2">
      <c r="H68" s="363"/>
      <c r="I68" s="363"/>
      <c r="W68" s="364">
        <f>'Costos Brasil'!V21+SUM(D73,H65,L71,P69)</f>
        <v>516687.5</v>
      </c>
      <c r="X68" s="364" t="s">
        <v>280</v>
      </c>
    </row>
    <row r="69" spans="4:24" x14ac:dyDescent="0.2">
      <c r="H69" s="363"/>
      <c r="I69" s="363"/>
      <c r="L69" s="226" t="s">
        <v>133</v>
      </c>
      <c r="P69" s="360">
        <v>0</v>
      </c>
      <c r="Q69" s="361">
        <f>W68</f>
        <v>516687.5</v>
      </c>
    </row>
    <row r="70" spans="4:24" x14ac:dyDescent="0.2">
      <c r="H70" s="363"/>
      <c r="I70" s="363"/>
      <c r="P70" s="363"/>
      <c r="Q70" s="363"/>
    </row>
    <row r="71" spans="4:24" x14ac:dyDescent="0.2">
      <c r="D71" s="226" t="s">
        <v>134</v>
      </c>
      <c r="H71" s="363"/>
      <c r="I71" s="363"/>
      <c r="L71" s="360">
        <f>-'Costos Brasil'!H31</f>
        <v>-139562.5</v>
      </c>
      <c r="M71" s="361">
        <f>IF(ABS(1-(P66+P71))&lt;=0.00001,P66*Q69+P71*Q74,NA())</f>
        <v>498093.75</v>
      </c>
      <c r="N71" s="363"/>
      <c r="P71" s="352">
        <v>0.85</v>
      </c>
    </row>
    <row r="72" spans="4:24" x14ac:dyDescent="0.2">
      <c r="H72" s="363"/>
      <c r="I72" s="363"/>
      <c r="L72" s="363"/>
      <c r="M72" s="363"/>
      <c r="N72" s="363"/>
      <c r="P72" s="226" t="s">
        <v>301</v>
      </c>
    </row>
    <row r="73" spans="4:24" x14ac:dyDescent="0.2">
      <c r="D73" s="360">
        <v>0</v>
      </c>
      <c r="E73" s="361">
        <f>IF(ABS(1-(H62+H78))&lt;=0.00001,H62*I65+H78*I81,NA())</f>
        <v>318744.15000000002</v>
      </c>
      <c r="H73" s="363"/>
      <c r="I73" s="363"/>
      <c r="L73" s="363"/>
      <c r="M73" s="363"/>
      <c r="N73" s="363"/>
      <c r="W73" s="364">
        <f>'Costos Brasil'!V22+SUM(D73,H65,L71,P74)</f>
        <v>494812.5</v>
      </c>
      <c r="X73" s="364" t="s">
        <v>281</v>
      </c>
    </row>
    <row r="74" spans="4:24" x14ac:dyDescent="0.2">
      <c r="D74" s="360"/>
      <c r="E74" s="361"/>
      <c r="H74" s="363"/>
      <c r="I74" s="363"/>
      <c r="L74" s="363"/>
      <c r="M74" s="363"/>
      <c r="N74" s="363"/>
      <c r="P74" s="360">
        <f>-'Costos Brasil'!I31</f>
        <v>-21875</v>
      </c>
      <c r="Q74" s="361">
        <f>W73</f>
        <v>494812.5</v>
      </c>
    </row>
    <row r="75" spans="4:24" x14ac:dyDescent="0.2">
      <c r="P75" s="363"/>
      <c r="Q75" s="363"/>
    </row>
    <row r="76" spans="4:24" x14ac:dyDescent="0.2">
      <c r="L76" s="352">
        <v>0.5</v>
      </c>
      <c r="P76" s="363"/>
      <c r="Q76" s="363"/>
    </row>
    <row r="77" spans="4:24" x14ac:dyDescent="0.2">
      <c r="L77" s="226" t="s">
        <v>157</v>
      </c>
    </row>
    <row r="78" spans="4:24" x14ac:dyDescent="0.2">
      <c r="H78" s="352">
        <v>0.3</v>
      </c>
      <c r="W78" s="364">
        <f>SUM(D73,H81,L79)</f>
        <v>752500</v>
      </c>
      <c r="X78" s="364" t="s">
        <v>282</v>
      </c>
    </row>
    <row r="79" spans="4:24" x14ac:dyDescent="0.2">
      <c r="H79" s="226" t="s">
        <v>251</v>
      </c>
      <c r="L79" s="360">
        <f>+'Costo Importar'!M12</f>
        <v>2380000</v>
      </c>
      <c r="M79" s="361">
        <f>W78</f>
        <v>752500</v>
      </c>
    </row>
    <row r="81" spans="8:24" x14ac:dyDescent="0.2">
      <c r="H81" s="360">
        <f>-'Costo Importar'!I12</f>
        <v>-1627500</v>
      </c>
      <c r="I81" s="361">
        <f>IF(ABS(1-(L76+L81))&lt;=0.00001,L76*M79+L81*M84,NA())</f>
        <v>-99738.25</v>
      </c>
      <c r="L81" s="352">
        <v>0.5</v>
      </c>
    </row>
    <row r="82" spans="8:24" x14ac:dyDescent="0.2">
      <c r="H82" s="363"/>
      <c r="I82" s="363"/>
      <c r="L82" s="226" t="s">
        <v>156</v>
      </c>
    </row>
    <row r="83" spans="8:24" x14ac:dyDescent="0.2">
      <c r="H83" s="363"/>
      <c r="I83" s="363"/>
      <c r="W83" s="364">
        <f>SUM(D73,H81,L84)</f>
        <v>-951976.5</v>
      </c>
      <c r="X83" s="364" t="s">
        <v>283</v>
      </c>
    </row>
    <row r="84" spans="8:24" ht="15" x14ac:dyDescent="0.25">
      <c r="L84" s="360">
        <f>'Costos Brasil'!I43</f>
        <v>675523.5</v>
      </c>
      <c r="M84" s="361">
        <f>W83</f>
        <v>-951976.5</v>
      </c>
      <c r="W84" s="367"/>
    </row>
    <row r="85" spans="8:24" x14ac:dyDescent="0.2">
      <c r="L85" s="363"/>
      <c r="M85" s="363"/>
    </row>
    <row r="1000" spans="189:204" x14ac:dyDescent="0.2">
      <c r="GH1000" s="233" t="s">
        <v>137</v>
      </c>
      <c r="GI1000" s="233" t="s">
        <v>138</v>
      </c>
      <c r="GJ1000" s="233" t="s">
        <v>139</v>
      </c>
      <c r="GK1000" s="233" t="s">
        <v>140</v>
      </c>
      <c r="GL1000" s="233" t="s">
        <v>141</v>
      </c>
      <c r="GM1000" s="233" t="s">
        <v>142</v>
      </c>
      <c r="GN1000" s="233" t="s">
        <v>143</v>
      </c>
      <c r="GO1000" s="233" t="s">
        <v>144</v>
      </c>
      <c r="GP1000" s="233" t="s">
        <v>145</v>
      </c>
      <c r="GQ1000" s="233" t="s">
        <v>146</v>
      </c>
      <c r="GR1000" s="233" t="s">
        <v>147</v>
      </c>
      <c r="GS1000" s="233" t="s">
        <v>148</v>
      </c>
      <c r="GT1000" s="233" t="s">
        <v>149</v>
      </c>
      <c r="GU1000" s="233" t="s">
        <v>150</v>
      </c>
      <c r="GV1000" s="233" t="s">
        <v>151</v>
      </c>
    </row>
    <row r="1001" spans="189:204" x14ac:dyDescent="0.2">
      <c r="GG1001" s="223">
        <v>0</v>
      </c>
      <c r="GH1001" s="233">
        <v>0</v>
      </c>
      <c r="GI1001" s="233" t="s">
        <v>152</v>
      </c>
      <c r="GJ1001" s="233">
        <v>0</v>
      </c>
      <c r="GK1001" s="233">
        <v>0</v>
      </c>
      <c r="GL1001" s="233">
        <v>0</v>
      </c>
      <c r="GM1001" s="233" t="s">
        <v>153</v>
      </c>
      <c r="GN1001" s="233">
        <v>2</v>
      </c>
      <c r="GO1001" s="233">
        <v>17</v>
      </c>
      <c r="GP1001" s="233">
        <v>8</v>
      </c>
      <c r="GQ1001" s="233">
        <v>0</v>
      </c>
      <c r="GR1001" s="233">
        <v>0</v>
      </c>
      <c r="GS1001" s="233">
        <v>0</v>
      </c>
      <c r="GT1001" s="234">
        <v>48</v>
      </c>
      <c r="GU1001" s="234">
        <v>1</v>
      </c>
      <c r="GV1001" s="234" t="b">
        <v>1</v>
      </c>
    </row>
    <row r="1002" spans="189:204" x14ac:dyDescent="0.2">
      <c r="GG1002" s="223">
        <v>25</v>
      </c>
      <c r="GH1002" s="233">
        <v>1</v>
      </c>
      <c r="GL1002" s="233">
        <v>7</v>
      </c>
      <c r="GM1002" s="233" t="s">
        <v>154</v>
      </c>
      <c r="GN1002" s="233">
        <v>0</v>
      </c>
      <c r="GO1002" s="233">
        <v>0</v>
      </c>
      <c r="GP1002" s="233">
        <v>0</v>
      </c>
      <c r="GQ1002" s="233">
        <v>0</v>
      </c>
      <c r="GR1002" s="233">
        <v>0</v>
      </c>
      <c r="GS1002" s="233">
        <v>0</v>
      </c>
      <c r="GT1002" s="234">
        <v>7</v>
      </c>
      <c r="GU1002" s="234">
        <v>21</v>
      </c>
      <c r="GV1002" s="234" t="b">
        <v>1</v>
      </c>
    </row>
    <row r="1003" spans="189:204" x14ac:dyDescent="0.2">
      <c r="GG1003" s="223">
        <v>26</v>
      </c>
      <c r="GH1003" s="233">
        <v>2</v>
      </c>
      <c r="GL1003" s="233">
        <v>7</v>
      </c>
      <c r="GM1003" s="233" t="s">
        <v>154</v>
      </c>
      <c r="GN1003" s="233">
        <v>0</v>
      </c>
      <c r="GO1003" s="233">
        <v>0</v>
      </c>
      <c r="GP1003" s="233">
        <v>0</v>
      </c>
      <c r="GQ1003" s="233">
        <v>0</v>
      </c>
      <c r="GR1003" s="233">
        <v>0</v>
      </c>
      <c r="GS1003" s="233">
        <v>0</v>
      </c>
      <c r="GT1003" s="234">
        <v>2</v>
      </c>
      <c r="GU1003" s="234">
        <v>21</v>
      </c>
      <c r="GV1003" s="234" t="b">
        <v>1</v>
      </c>
    </row>
    <row r="1004" spans="189:204" x14ac:dyDescent="0.2">
      <c r="GG1004" s="223">
        <v>27</v>
      </c>
      <c r="GH1004" s="223">
        <v>3</v>
      </c>
      <c r="GL1004" s="223">
        <v>22</v>
      </c>
      <c r="GM1004" s="223" t="s">
        <v>154</v>
      </c>
      <c r="GN1004" s="223">
        <v>0</v>
      </c>
      <c r="GO1004" s="223">
        <v>0</v>
      </c>
      <c r="GP1004" s="223">
        <v>0</v>
      </c>
      <c r="GQ1004" s="223">
        <v>0</v>
      </c>
      <c r="GR1004" s="223">
        <v>0</v>
      </c>
      <c r="GS1004" s="223">
        <v>0</v>
      </c>
      <c r="GT1004" s="223">
        <v>17</v>
      </c>
      <c r="GU1004" s="223">
        <v>17</v>
      </c>
      <c r="GV1004" s="223" t="b">
        <v>1</v>
      </c>
    </row>
    <row r="1005" spans="189:204" x14ac:dyDescent="0.2">
      <c r="GG1005" s="223">
        <v>28</v>
      </c>
      <c r="GH1005" s="223">
        <v>4</v>
      </c>
      <c r="GL1005" s="223">
        <v>19</v>
      </c>
      <c r="GM1005" s="223" t="s">
        <v>154</v>
      </c>
      <c r="GN1005" s="223">
        <v>0</v>
      </c>
      <c r="GO1005" s="223">
        <v>0</v>
      </c>
      <c r="GP1005" s="223">
        <v>0</v>
      </c>
      <c r="GQ1005" s="223">
        <v>0</v>
      </c>
      <c r="GR1005" s="223">
        <v>0</v>
      </c>
      <c r="GS1005" s="223">
        <v>0</v>
      </c>
      <c r="GT1005" s="223">
        <v>12</v>
      </c>
      <c r="GU1005" s="223">
        <v>17</v>
      </c>
      <c r="GV1005" s="223" t="b">
        <v>1</v>
      </c>
    </row>
    <row r="1006" spans="189:204" x14ac:dyDescent="0.2">
      <c r="GG1006" s="223">
        <v>0</v>
      </c>
      <c r="GH1006" s="223">
        <v>5</v>
      </c>
      <c r="GL1006" s="223">
        <v>15</v>
      </c>
      <c r="GM1006" s="223" t="s">
        <v>154</v>
      </c>
      <c r="GN1006" s="223">
        <v>0</v>
      </c>
      <c r="GO1006" s="223">
        <v>0</v>
      </c>
      <c r="GP1006" s="223">
        <v>0</v>
      </c>
      <c r="GQ1006" s="223">
        <v>0</v>
      </c>
      <c r="GR1006" s="223">
        <v>0</v>
      </c>
      <c r="GS1006" s="223">
        <v>0</v>
      </c>
      <c r="GT1006" s="223">
        <v>82</v>
      </c>
      <c r="GU1006" s="223">
        <v>13</v>
      </c>
      <c r="GV1006" s="223" t="b">
        <v>1</v>
      </c>
    </row>
    <row r="1007" spans="189:204" x14ac:dyDescent="0.2">
      <c r="GG1007" s="223">
        <v>0</v>
      </c>
      <c r="GH1007" s="223">
        <v>6</v>
      </c>
      <c r="GL1007" s="223">
        <v>15</v>
      </c>
      <c r="GM1007" s="223" t="s">
        <v>154</v>
      </c>
      <c r="GN1007" s="223">
        <v>0</v>
      </c>
      <c r="GO1007" s="223">
        <v>0</v>
      </c>
      <c r="GP1007" s="223">
        <v>0</v>
      </c>
      <c r="GQ1007" s="223">
        <v>0</v>
      </c>
      <c r="GR1007" s="223">
        <v>0</v>
      </c>
      <c r="GS1007" s="223">
        <v>0</v>
      </c>
      <c r="GT1007" s="223">
        <v>77</v>
      </c>
      <c r="GU1007" s="223">
        <v>13</v>
      </c>
      <c r="GV1007" s="223" t="b">
        <v>1</v>
      </c>
    </row>
    <row r="1008" spans="189:204" x14ac:dyDescent="0.2">
      <c r="GG1008" s="223">
        <v>29</v>
      </c>
      <c r="GH1008" s="223">
        <v>7</v>
      </c>
      <c r="GL1008" s="223">
        <v>19</v>
      </c>
      <c r="GM1008" s="223" t="s">
        <v>155</v>
      </c>
      <c r="GN1008" s="223">
        <v>2</v>
      </c>
      <c r="GO1008" s="223">
        <v>2</v>
      </c>
      <c r="GP1008" s="223">
        <v>1</v>
      </c>
      <c r="GQ1008" s="223">
        <v>0</v>
      </c>
      <c r="GR1008" s="223">
        <v>0</v>
      </c>
      <c r="GS1008" s="223">
        <v>0</v>
      </c>
      <c r="GT1008" s="223">
        <v>4</v>
      </c>
      <c r="GU1008" s="223">
        <v>17</v>
      </c>
      <c r="GV1008" s="223" t="b">
        <v>1</v>
      </c>
    </row>
    <row r="1009" spans="189:204" x14ac:dyDescent="0.2">
      <c r="GG1009" s="223">
        <v>0</v>
      </c>
      <c r="GH1009" s="223">
        <v>8</v>
      </c>
      <c r="GK1009" s="223">
        <v>0</v>
      </c>
      <c r="GL1009" s="223">
        <v>0</v>
      </c>
      <c r="GM1009" s="223" t="s">
        <v>155</v>
      </c>
      <c r="GN1009" s="223">
        <v>2</v>
      </c>
      <c r="GO1009" s="223">
        <v>16</v>
      </c>
      <c r="GP1009" s="223">
        <v>15</v>
      </c>
      <c r="GQ1009" s="223">
        <v>0</v>
      </c>
      <c r="GR1009" s="223">
        <v>0</v>
      </c>
      <c r="GS1009" s="223">
        <v>0</v>
      </c>
      <c r="GT1009" s="223">
        <v>71</v>
      </c>
      <c r="GU1009" s="223">
        <v>5</v>
      </c>
      <c r="GV1009" s="223" t="b">
        <v>1</v>
      </c>
    </row>
    <row r="1010" spans="189:204" x14ac:dyDescent="0.2">
      <c r="GG1010" s="223">
        <v>0</v>
      </c>
      <c r="GH1010" s="223">
        <v>9</v>
      </c>
      <c r="GL1010" s="223">
        <v>13</v>
      </c>
      <c r="GM1010" s="223" t="s">
        <v>154</v>
      </c>
      <c r="GN1010" s="223">
        <v>0</v>
      </c>
      <c r="GO1010" s="223">
        <v>0</v>
      </c>
      <c r="GP1010" s="223">
        <v>0</v>
      </c>
      <c r="GQ1010" s="223">
        <v>0</v>
      </c>
      <c r="GR1010" s="223">
        <v>0</v>
      </c>
      <c r="GS1010" s="223">
        <v>0</v>
      </c>
      <c r="GT1010" s="223">
        <v>72</v>
      </c>
      <c r="GU1010" s="223">
        <v>17</v>
      </c>
      <c r="GV1010" s="223" t="b">
        <v>1</v>
      </c>
    </row>
    <row r="1011" spans="189:204" x14ac:dyDescent="0.2">
      <c r="GG1011" s="223">
        <v>0</v>
      </c>
      <c r="GH1011" s="223">
        <v>10</v>
      </c>
      <c r="GL1011" s="223">
        <v>13</v>
      </c>
      <c r="GM1011" s="223" t="s">
        <v>154</v>
      </c>
      <c r="GN1011" s="223">
        <v>0</v>
      </c>
      <c r="GO1011" s="223">
        <v>0</v>
      </c>
      <c r="GP1011" s="223">
        <v>0</v>
      </c>
      <c r="GQ1011" s="223">
        <v>0</v>
      </c>
      <c r="GR1011" s="223">
        <v>0</v>
      </c>
      <c r="GS1011" s="223">
        <v>0</v>
      </c>
      <c r="GT1011" s="223">
        <v>67</v>
      </c>
      <c r="GU1011" s="223">
        <v>17</v>
      </c>
      <c r="GV1011" s="223" t="b">
        <v>1</v>
      </c>
    </row>
    <row r="1012" spans="189:204" x14ac:dyDescent="0.2">
      <c r="GG1012" s="223">
        <v>0</v>
      </c>
      <c r="GH1012" s="223">
        <v>11</v>
      </c>
      <c r="GL1012" s="223">
        <v>14</v>
      </c>
      <c r="GM1012" s="223" t="s">
        <v>154</v>
      </c>
      <c r="GN1012" s="223">
        <v>0</v>
      </c>
      <c r="GO1012" s="223">
        <v>0</v>
      </c>
      <c r="GP1012" s="223">
        <v>0</v>
      </c>
      <c r="GQ1012" s="223">
        <v>0</v>
      </c>
      <c r="GR1012" s="223">
        <v>0</v>
      </c>
      <c r="GS1012" s="223">
        <v>0</v>
      </c>
      <c r="GT1012" s="223">
        <v>62</v>
      </c>
      <c r="GU1012" s="223">
        <v>17</v>
      </c>
      <c r="GV1012" s="223" t="b">
        <v>1</v>
      </c>
    </row>
    <row r="1013" spans="189:204" x14ac:dyDescent="0.2">
      <c r="GG1013" s="223">
        <v>0</v>
      </c>
      <c r="GH1013" s="223">
        <v>12</v>
      </c>
      <c r="GL1013" s="223">
        <v>14</v>
      </c>
      <c r="GM1013" s="223" t="s">
        <v>155</v>
      </c>
      <c r="GN1013" s="223">
        <v>2</v>
      </c>
      <c r="GO1013" s="223">
        <v>23</v>
      </c>
      <c r="GP1013" s="223">
        <v>20</v>
      </c>
      <c r="GQ1013" s="223">
        <v>0</v>
      </c>
      <c r="GR1013" s="223">
        <v>0</v>
      </c>
      <c r="GS1013" s="223">
        <v>0</v>
      </c>
      <c r="GT1013" s="223">
        <v>54</v>
      </c>
      <c r="GU1013" s="223">
        <v>17</v>
      </c>
      <c r="GV1013" s="223" t="b">
        <v>1</v>
      </c>
    </row>
    <row r="1014" spans="189:204" x14ac:dyDescent="0.2">
      <c r="GG1014" s="223">
        <v>0</v>
      </c>
      <c r="GH1014" s="223">
        <v>13</v>
      </c>
      <c r="GK1014" s="223">
        <v>0</v>
      </c>
      <c r="GL1014" s="223">
        <v>16</v>
      </c>
      <c r="GM1014" s="223" t="s">
        <v>155</v>
      </c>
      <c r="GN1014" s="223">
        <v>2</v>
      </c>
      <c r="GO1014" s="223">
        <v>10</v>
      </c>
      <c r="GP1014" s="223">
        <v>9</v>
      </c>
      <c r="GQ1014" s="223">
        <v>0</v>
      </c>
      <c r="GR1014" s="223">
        <v>0</v>
      </c>
      <c r="GS1014" s="223">
        <v>0</v>
      </c>
      <c r="GT1014" s="223">
        <v>69</v>
      </c>
      <c r="GU1014" s="223">
        <v>13</v>
      </c>
      <c r="GV1014" s="223" t="b">
        <v>1</v>
      </c>
    </row>
    <row r="1015" spans="189:204" x14ac:dyDescent="0.2">
      <c r="GG1015" s="223">
        <v>0</v>
      </c>
      <c r="GH1015" s="223">
        <v>14</v>
      </c>
      <c r="GK1015" s="223">
        <v>0</v>
      </c>
      <c r="GL1015" s="223">
        <v>16</v>
      </c>
      <c r="GM1015" s="223" t="s">
        <v>155</v>
      </c>
      <c r="GN1015" s="223">
        <v>2</v>
      </c>
      <c r="GO1015" s="223">
        <v>12</v>
      </c>
      <c r="GP1015" s="223">
        <v>11</v>
      </c>
      <c r="GQ1015" s="223">
        <v>0</v>
      </c>
      <c r="GR1015" s="223">
        <v>0</v>
      </c>
      <c r="GS1015" s="223">
        <v>0</v>
      </c>
      <c r="GT1015" s="223">
        <v>58</v>
      </c>
      <c r="GU1015" s="223">
        <v>13</v>
      </c>
      <c r="GV1015" s="223" t="b">
        <v>1</v>
      </c>
    </row>
    <row r="1016" spans="189:204" x14ac:dyDescent="0.2">
      <c r="GG1016" s="223">
        <v>0</v>
      </c>
      <c r="GH1016" s="223">
        <v>15</v>
      </c>
      <c r="GL1016" s="223">
        <v>8</v>
      </c>
      <c r="GM1016" s="223" t="s">
        <v>155</v>
      </c>
      <c r="GN1016" s="223">
        <v>2</v>
      </c>
      <c r="GO1016" s="223">
        <v>6</v>
      </c>
      <c r="GP1016" s="223">
        <v>5</v>
      </c>
      <c r="GQ1016" s="223">
        <v>0</v>
      </c>
      <c r="GR1016" s="223">
        <v>0</v>
      </c>
      <c r="GS1016" s="223">
        <v>0</v>
      </c>
      <c r="GT1016" s="223">
        <v>79</v>
      </c>
      <c r="GU1016" s="223">
        <v>9</v>
      </c>
      <c r="GV1016" s="223" t="b">
        <v>1</v>
      </c>
    </row>
    <row r="1017" spans="189:204" x14ac:dyDescent="0.2">
      <c r="GG1017" s="223">
        <v>0</v>
      </c>
      <c r="GH1017" s="223">
        <v>16</v>
      </c>
      <c r="GL1017" s="223">
        <v>8</v>
      </c>
      <c r="GM1017" s="223" t="s">
        <v>153</v>
      </c>
      <c r="GN1017" s="223">
        <v>2</v>
      </c>
      <c r="GO1017" s="223">
        <v>14</v>
      </c>
      <c r="GP1017" s="223">
        <v>13</v>
      </c>
      <c r="GQ1017" s="223">
        <v>0</v>
      </c>
      <c r="GR1017" s="223">
        <v>0</v>
      </c>
      <c r="GS1017" s="223">
        <v>0</v>
      </c>
      <c r="GT1017" s="223">
        <v>63</v>
      </c>
      <c r="GU1017" s="223">
        <v>9</v>
      </c>
      <c r="GV1017" s="223" t="b">
        <v>1</v>
      </c>
    </row>
    <row r="1018" spans="189:204" x14ac:dyDescent="0.2">
      <c r="GG1018" s="223">
        <v>0</v>
      </c>
      <c r="GH1018" s="223">
        <v>17</v>
      </c>
      <c r="GK1018" s="223">
        <v>0</v>
      </c>
      <c r="GL1018" s="223">
        <v>0</v>
      </c>
      <c r="GM1018" s="223" t="s">
        <v>155</v>
      </c>
      <c r="GN1018" s="223">
        <v>2</v>
      </c>
      <c r="GO1018" s="223">
        <v>21</v>
      </c>
      <c r="GP1018" s="223">
        <v>24</v>
      </c>
      <c r="GQ1018" s="223">
        <v>0</v>
      </c>
      <c r="GR1018" s="223">
        <v>0</v>
      </c>
      <c r="GS1018" s="223">
        <v>0</v>
      </c>
      <c r="GT1018" s="223">
        <v>25</v>
      </c>
      <c r="GU1018" s="223">
        <v>5</v>
      </c>
      <c r="GV1018" s="223" t="b">
        <v>1</v>
      </c>
    </row>
    <row r="1019" spans="189:204" x14ac:dyDescent="0.2">
      <c r="GG1019" s="223">
        <v>30</v>
      </c>
      <c r="GH1019" s="223">
        <v>18</v>
      </c>
      <c r="GL1019" s="223">
        <v>22</v>
      </c>
      <c r="GM1019" s="223" t="s">
        <v>154</v>
      </c>
      <c r="GN1019" s="223">
        <v>0</v>
      </c>
      <c r="GO1019" s="223">
        <v>0</v>
      </c>
      <c r="GP1019" s="223">
        <v>0</v>
      </c>
      <c r="GQ1019" s="223">
        <v>0</v>
      </c>
      <c r="GR1019" s="223">
        <v>0</v>
      </c>
      <c r="GS1019" s="223">
        <v>0</v>
      </c>
      <c r="GT1019" s="223">
        <v>22</v>
      </c>
      <c r="GU1019" s="223">
        <v>17</v>
      </c>
      <c r="GV1019" s="223" t="b">
        <v>1</v>
      </c>
    </row>
    <row r="1020" spans="189:204" x14ac:dyDescent="0.2">
      <c r="GG1020" s="223">
        <v>31</v>
      </c>
      <c r="GH1020" s="223">
        <v>19</v>
      </c>
      <c r="GK1020" s="223">
        <v>0</v>
      </c>
      <c r="GL1020" s="223">
        <v>21</v>
      </c>
      <c r="GM1020" s="223" t="s">
        <v>155</v>
      </c>
      <c r="GN1020" s="223">
        <v>2</v>
      </c>
      <c r="GO1020" s="223">
        <v>7</v>
      </c>
      <c r="GP1020" s="223">
        <v>4</v>
      </c>
      <c r="GQ1020" s="223">
        <v>0</v>
      </c>
      <c r="GR1020" s="223">
        <v>0</v>
      </c>
      <c r="GS1020" s="223">
        <v>0</v>
      </c>
      <c r="GT1020" s="223">
        <v>8</v>
      </c>
      <c r="GU1020" s="223">
        <v>13</v>
      </c>
      <c r="GV1020" s="223" t="b">
        <v>1</v>
      </c>
    </row>
    <row r="1021" spans="189:204" x14ac:dyDescent="0.2">
      <c r="GG1021" s="223">
        <v>0</v>
      </c>
      <c r="GH1021" s="223">
        <v>20</v>
      </c>
      <c r="GL1021" s="223">
        <v>12</v>
      </c>
      <c r="GM1021" s="223" t="s">
        <v>154</v>
      </c>
      <c r="GN1021" s="223">
        <v>0</v>
      </c>
      <c r="GO1021" s="223">
        <v>0</v>
      </c>
      <c r="GP1021" s="223">
        <v>0</v>
      </c>
      <c r="GQ1021" s="223">
        <v>0</v>
      </c>
      <c r="GR1021" s="223">
        <v>0</v>
      </c>
      <c r="GS1021" s="223">
        <v>0</v>
      </c>
      <c r="GT1021" s="223">
        <v>57</v>
      </c>
      <c r="GU1021" s="223">
        <v>21</v>
      </c>
      <c r="GV1021" s="223" t="b">
        <v>1</v>
      </c>
    </row>
    <row r="1022" spans="189:204" x14ac:dyDescent="0.2">
      <c r="GG1022" s="223">
        <v>24</v>
      </c>
      <c r="GH1022" s="223">
        <v>21</v>
      </c>
      <c r="GL1022" s="223">
        <v>17</v>
      </c>
      <c r="GM1022" s="223" t="s">
        <v>153</v>
      </c>
      <c r="GN1022" s="223">
        <v>2</v>
      </c>
      <c r="GO1022" s="223">
        <v>19</v>
      </c>
      <c r="GP1022" s="223">
        <v>22</v>
      </c>
      <c r="GQ1022" s="223">
        <v>0</v>
      </c>
      <c r="GR1022" s="223">
        <v>0</v>
      </c>
      <c r="GS1022" s="223">
        <v>0</v>
      </c>
      <c r="GT1022" s="223">
        <v>13</v>
      </c>
      <c r="GU1022" s="223">
        <v>9</v>
      </c>
      <c r="GV1022" s="223" t="b">
        <v>1</v>
      </c>
    </row>
    <row r="1023" spans="189:204" x14ac:dyDescent="0.2">
      <c r="GG1023" s="223">
        <v>32</v>
      </c>
      <c r="GH1023" s="223">
        <v>22</v>
      </c>
      <c r="GK1023" s="223">
        <v>0</v>
      </c>
      <c r="GL1023" s="223">
        <v>21</v>
      </c>
      <c r="GM1023" s="223" t="s">
        <v>155</v>
      </c>
      <c r="GN1023" s="223">
        <v>2</v>
      </c>
      <c r="GO1023" s="223">
        <v>3</v>
      </c>
      <c r="GP1023" s="223">
        <v>18</v>
      </c>
      <c r="GQ1023" s="223">
        <v>0</v>
      </c>
      <c r="GR1023" s="223">
        <v>0</v>
      </c>
      <c r="GS1023" s="223">
        <v>0</v>
      </c>
      <c r="GT1023" s="223">
        <v>19</v>
      </c>
      <c r="GU1023" s="223">
        <v>13</v>
      </c>
      <c r="GV1023" s="223" t="b">
        <v>1</v>
      </c>
    </row>
    <row r="1024" spans="189:204" x14ac:dyDescent="0.2">
      <c r="GG1024" s="223">
        <v>0</v>
      </c>
      <c r="GH1024" s="223">
        <v>23</v>
      </c>
      <c r="GL1024" s="223">
        <v>12</v>
      </c>
      <c r="GM1024" s="223" t="s">
        <v>154</v>
      </c>
      <c r="GN1024" s="223">
        <v>0</v>
      </c>
      <c r="GO1024" s="223">
        <v>0</v>
      </c>
      <c r="GP1024" s="223">
        <v>0</v>
      </c>
      <c r="GQ1024" s="223">
        <v>0</v>
      </c>
      <c r="GR1024" s="223">
        <v>0</v>
      </c>
      <c r="GS1024" s="223">
        <v>0</v>
      </c>
      <c r="GT1024" s="223">
        <v>52</v>
      </c>
      <c r="GU1024" s="223">
        <v>21</v>
      </c>
      <c r="GV1024" s="223" t="b">
        <v>1</v>
      </c>
    </row>
    <row r="1025" spans="189:204" x14ac:dyDescent="0.2">
      <c r="GG1025" s="223">
        <v>0</v>
      </c>
      <c r="GH1025" s="223">
        <v>24</v>
      </c>
      <c r="GL1025" s="223">
        <v>17</v>
      </c>
      <c r="GM1025" s="223" t="s">
        <v>153</v>
      </c>
      <c r="GN1025" s="223">
        <v>2</v>
      </c>
      <c r="GO1025" s="223">
        <v>31</v>
      </c>
      <c r="GP1025" s="223">
        <v>32</v>
      </c>
      <c r="GQ1025" s="223">
        <v>0</v>
      </c>
      <c r="GR1025" s="223">
        <v>0</v>
      </c>
      <c r="GS1025" s="223">
        <v>0</v>
      </c>
      <c r="GT1025" s="223">
        <v>38</v>
      </c>
      <c r="GU1025" s="223">
        <v>9</v>
      </c>
      <c r="GV1025" s="223" t="b">
        <v>1</v>
      </c>
    </row>
    <row r="1026" spans="189:204" x14ac:dyDescent="0.2">
      <c r="GH1026" s="223">
        <v>25</v>
      </c>
      <c r="GL1026" s="223">
        <v>29</v>
      </c>
      <c r="GM1026" s="233" t="s">
        <v>154</v>
      </c>
      <c r="GN1026" s="233">
        <v>0</v>
      </c>
      <c r="GO1026" s="223">
        <v>0</v>
      </c>
      <c r="GP1026" s="223">
        <v>0</v>
      </c>
      <c r="GQ1026" s="223">
        <v>0</v>
      </c>
      <c r="GR1026" s="223">
        <v>0</v>
      </c>
      <c r="GS1026" s="223">
        <v>0</v>
      </c>
      <c r="GT1026" s="223">
        <v>32</v>
      </c>
      <c r="GU1026" s="223">
        <v>21</v>
      </c>
      <c r="GV1026" s="223" t="b">
        <v>1</v>
      </c>
    </row>
    <row r="1027" spans="189:204" x14ac:dyDescent="0.2">
      <c r="GH1027" s="223">
        <v>26</v>
      </c>
      <c r="GL1027" s="223">
        <v>29</v>
      </c>
      <c r="GM1027" s="233" t="s">
        <v>154</v>
      </c>
      <c r="GN1027" s="233">
        <v>0</v>
      </c>
      <c r="GO1027" s="223">
        <v>0</v>
      </c>
      <c r="GP1027" s="223">
        <v>0</v>
      </c>
      <c r="GQ1027" s="223">
        <v>0</v>
      </c>
      <c r="GR1027" s="223">
        <v>0</v>
      </c>
      <c r="GS1027" s="223">
        <v>0</v>
      </c>
      <c r="GT1027" s="223">
        <v>27</v>
      </c>
      <c r="GU1027" s="223">
        <v>21</v>
      </c>
      <c r="GV1027" s="223" t="b">
        <v>1</v>
      </c>
    </row>
    <row r="1028" spans="189:204" x14ac:dyDescent="0.2">
      <c r="GH1028" s="223">
        <v>27</v>
      </c>
      <c r="GL1028" s="223">
        <v>32</v>
      </c>
      <c r="GM1028" s="223" t="s">
        <v>154</v>
      </c>
      <c r="GN1028" s="223">
        <v>0</v>
      </c>
      <c r="GO1028" s="223">
        <v>0</v>
      </c>
      <c r="GP1028" s="223">
        <v>0</v>
      </c>
      <c r="GQ1028" s="223">
        <v>0</v>
      </c>
      <c r="GR1028" s="223">
        <v>0</v>
      </c>
      <c r="GS1028" s="223">
        <v>0</v>
      </c>
      <c r="GT1028" s="223">
        <v>42</v>
      </c>
      <c r="GU1028" s="223">
        <v>17</v>
      </c>
      <c r="GV1028" s="223" t="b">
        <v>1</v>
      </c>
    </row>
    <row r="1029" spans="189:204" x14ac:dyDescent="0.2">
      <c r="GH1029" s="223">
        <v>28</v>
      </c>
      <c r="GL1029" s="223">
        <v>31</v>
      </c>
      <c r="GM1029" s="223" t="s">
        <v>154</v>
      </c>
      <c r="GN1029" s="223">
        <v>0</v>
      </c>
      <c r="GO1029" s="223">
        <v>0</v>
      </c>
      <c r="GP1029" s="223">
        <v>0</v>
      </c>
      <c r="GQ1029" s="223">
        <v>0</v>
      </c>
      <c r="GR1029" s="223">
        <v>0</v>
      </c>
      <c r="GS1029" s="223">
        <v>0</v>
      </c>
      <c r="GT1029" s="223">
        <v>37</v>
      </c>
      <c r="GU1029" s="223">
        <v>17</v>
      </c>
      <c r="GV1029" s="223" t="b">
        <v>1</v>
      </c>
    </row>
    <row r="1030" spans="189:204" x14ac:dyDescent="0.2">
      <c r="GH1030" s="223">
        <v>29</v>
      </c>
      <c r="GL1030" s="223">
        <v>31</v>
      </c>
      <c r="GM1030" s="223" t="s">
        <v>155</v>
      </c>
      <c r="GN1030" s="223">
        <v>2</v>
      </c>
      <c r="GO1030" s="223">
        <v>26</v>
      </c>
      <c r="GP1030" s="223">
        <v>25</v>
      </c>
      <c r="GQ1030" s="223">
        <v>0</v>
      </c>
      <c r="GR1030" s="223">
        <v>0</v>
      </c>
      <c r="GS1030" s="223">
        <v>0</v>
      </c>
      <c r="GT1030" s="223">
        <v>29</v>
      </c>
      <c r="GU1030" s="223">
        <v>17</v>
      </c>
      <c r="GV1030" s="223" t="b">
        <v>1</v>
      </c>
    </row>
    <row r="1031" spans="189:204" x14ac:dyDescent="0.2">
      <c r="GH1031" s="223">
        <v>30</v>
      </c>
      <c r="GL1031" s="223">
        <v>32</v>
      </c>
      <c r="GM1031" s="223" t="s">
        <v>154</v>
      </c>
      <c r="GN1031" s="223">
        <v>0</v>
      </c>
      <c r="GO1031" s="223">
        <v>0</v>
      </c>
      <c r="GP1031" s="223">
        <v>0</v>
      </c>
      <c r="GQ1031" s="223">
        <v>0</v>
      </c>
      <c r="GR1031" s="223">
        <v>0</v>
      </c>
      <c r="GS1031" s="223">
        <v>0</v>
      </c>
      <c r="GT1031" s="223">
        <v>47</v>
      </c>
      <c r="GU1031" s="223">
        <v>17</v>
      </c>
      <c r="GV1031" s="223" t="b">
        <v>1</v>
      </c>
    </row>
    <row r="1032" spans="189:204" x14ac:dyDescent="0.2">
      <c r="GH1032" s="223">
        <v>31</v>
      </c>
      <c r="GK1032" s="223">
        <v>0</v>
      </c>
      <c r="GL1032" s="223">
        <v>24</v>
      </c>
      <c r="GM1032" s="223" t="s">
        <v>155</v>
      </c>
      <c r="GN1032" s="223">
        <v>2</v>
      </c>
      <c r="GO1032" s="223">
        <v>29</v>
      </c>
      <c r="GP1032" s="223">
        <v>28</v>
      </c>
      <c r="GQ1032" s="223">
        <v>0</v>
      </c>
      <c r="GR1032" s="223">
        <v>0</v>
      </c>
      <c r="GS1032" s="223">
        <v>0</v>
      </c>
      <c r="GT1032" s="223">
        <v>33</v>
      </c>
      <c r="GU1032" s="223">
        <v>13</v>
      </c>
      <c r="GV1032" s="223" t="b">
        <v>1</v>
      </c>
    </row>
    <row r="1033" spans="189:204" x14ac:dyDescent="0.2">
      <c r="GH1033" s="223">
        <v>32</v>
      </c>
      <c r="GK1033" s="223">
        <v>0</v>
      </c>
      <c r="GL1033" s="223">
        <v>24</v>
      </c>
      <c r="GM1033" s="223" t="s">
        <v>155</v>
      </c>
      <c r="GN1033" s="223">
        <v>2</v>
      </c>
      <c r="GO1033" s="223">
        <v>27</v>
      </c>
      <c r="GP1033" s="223">
        <v>30</v>
      </c>
      <c r="GQ1033" s="223">
        <v>0</v>
      </c>
      <c r="GR1033" s="223">
        <v>0</v>
      </c>
      <c r="GS1033" s="223">
        <v>0</v>
      </c>
      <c r="GT1033" s="223">
        <v>44</v>
      </c>
      <c r="GU1033" s="223">
        <v>13</v>
      </c>
      <c r="GV1033" s="223" t="b">
        <v>1</v>
      </c>
    </row>
  </sheetData>
  <sheetProtection scenarios="1"/>
  <pageMargins left="0.7" right="0.7" top="0.75" bottom="0.75" header="0.3" footer="0.3"/>
  <pageSetup orientation="portrait" r:id="rId1"/>
  <headerFooter>
    <oddHeader>&amp;L&amp;EFor Evaluation Only</oddHeader>
    <oddFooter>&amp;L&amp;ETreePlan Trial, For Evaluation Only&amp;Z&amp;Ewww.TreePlan.com</oddFooter>
  </headerFooter>
  <ignoredErrors>
    <ignoredError sqref="W3:W13 W38" emptyCellReferenc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showGridLines="0" workbookViewId="0">
      <selection activeCell="A2" sqref="A2"/>
    </sheetView>
  </sheetViews>
  <sheetFormatPr baseColWidth="10" defaultRowHeight="15" x14ac:dyDescent="0.25"/>
  <cols>
    <col min="1" max="1" width="40.5" bestFit="1" customWidth="1"/>
  </cols>
  <sheetData>
    <row r="1" spans="1:9" x14ac:dyDescent="0.25">
      <c r="A1" s="13"/>
      <c r="B1" s="416" t="s">
        <v>64</v>
      </c>
      <c r="C1" s="416" t="s">
        <v>68</v>
      </c>
      <c r="I1" s="416" t="s">
        <v>96</v>
      </c>
    </row>
    <row r="2" spans="1:9" x14ac:dyDescent="0.25">
      <c r="A2" s="12"/>
      <c r="B2" s="425"/>
      <c r="C2" s="425"/>
      <c r="I2" s="425"/>
    </row>
    <row r="3" spans="1:9" ht="15" customHeight="1" x14ac:dyDescent="0.25">
      <c r="A3" s="55" t="s">
        <v>94</v>
      </c>
      <c r="B3" s="58">
        <v>1850</v>
      </c>
      <c r="C3" s="64">
        <v>14.5</v>
      </c>
      <c r="I3" s="61">
        <f>+C3*30</f>
        <v>435</v>
      </c>
    </row>
    <row r="4" spans="1:9" x14ac:dyDescent="0.25">
      <c r="A4" s="56" t="s">
        <v>48</v>
      </c>
      <c r="B4" s="59">
        <v>16050</v>
      </c>
      <c r="C4" s="65" t="s">
        <v>66</v>
      </c>
      <c r="I4" s="62" t="s">
        <v>66</v>
      </c>
    </row>
    <row r="5" spans="1:9" ht="15" customHeight="1" x14ac:dyDescent="0.25">
      <c r="A5" s="56" t="s">
        <v>49</v>
      </c>
      <c r="B5" s="59">
        <v>5600</v>
      </c>
      <c r="C5" s="65" t="s">
        <v>66</v>
      </c>
      <c r="I5" s="62" t="s">
        <v>66</v>
      </c>
    </row>
    <row r="6" spans="1:9" ht="15" customHeight="1" x14ac:dyDescent="0.25">
      <c r="A6" s="56" t="s">
        <v>51</v>
      </c>
      <c r="B6" s="59">
        <v>4500</v>
      </c>
      <c r="C6" s="65" t="s">
        <v>66</v>
      </c>
      <c r="I6" s="62" t="s">
        <v>66</v>
      </c>
    </row>
    <row r="7" spans="1:9" ht="15" customHeight="1" x14ac:dyDescent="0.25">
      <c r="A7" s="57" t="s">
        <v>95</v>
      </c>
      <c r="B7" s="60">
        <v>1600</v>
      </c>
      <c r="C7" s="66">
        <v>14.5</v>
      </c>
      <c r="I7" s="63" t="s">
        <v>66</v>
      </c>
    </row>
    <row r="9" spans="1:9" x14ac:dyDescent="0.25">
      <c r="A9" s="25" t="s">
        <v>50</v>
      </c>
      <c r="B9" s="26">
        <v>8</v>
      </c>
    </row>
    <row r="10" spans="1:9" x14ac:dyDescent="0.25">
      <c r="A10" s="24"/>
      <c r="B10" s="27"/>
    </row>
    <row r="11" spans="1:9" x14ac:dyDescent="0.25">
      <c r="A11" s="25" t="s">
        <v>24</v>
      </c>
      <c r="B11" s="54" t="s">
        <v>52</v>
      </c>
    </row>
    <row r="16" spans="1:9" x14ac:dyDescent="0.25">
      <c r="A16" s="13"/>
      <c r="B16" s="13"/>
      <c r="C16" s="416" t="s">
        <v>64</v>
      </c>
      <c r="D16" s="416" t="s">
        <v>68</v>
      </c>
      <c r="E16" s="416" t="s">
        <v>96</v>
      </c>
      <c r="F16" s="416" t="s">
        <v>67</v>
      </c>
    </row>
    <row r="17" spans="1:6" ht="24" customHeight="1" x14ac:dyDescent="0.25">
      <c r="A17" s="12"/>
      <c r="B17" s="13"/>
      <c r="C17" s="416"/>
      <c r="D17" s="416"/>
      <c r="E17" s="425"/>
      <c r="F17" s="416"/>
    </row>
    <row r="18" spans="1:6" x14ac:dyDescent="0.25">
      <c r="A18" s="417" t="s">
        <v>63</v>
      </c>
      <c r="B18" s="417"/>
      <c r="C18" s="67">
        <v>3500</v>
      </c>
      <c r="D18" s="45">
        <v>8</v>
      </c>
      <c r="E18" s="68" t="s">
        <v>66</v>
      </c>
      <c r="F18" s="67">
        <v>1500</v>
      </c>
    </row>
    <row r="19" spans="1:6" x14ac:dyDescent="0.25">
      <c r="A19" s="46"/>
      <c r="B19" s="46"/>
      <c r="C19" s="12"/>
      <c r="D19" s="12"/>
      <c r="E19" s="12"/>
      <c r="F19" s="1"/>
    </row>
    <row r="20" spans="1:6" x14ac:dyDescent="0.25">
      <c r="A20" s="417" t="s">
        <v>69</v>
      </c>
      <c r="B20" s="417"/>
      <c r="C20" s="67">
        <v>1850</v>
      </c>
      <c r="D20" s="26">
        <v>14.5</v>
      </c>
      <c r="E20" s="67">
        <f>+D20*30</f>
        <v>435</v>
      </c>
      <c r="F20" s="68" t="s">
        <v>66</v>
      </c>
    </row>
  </sheetData>
  <mergeCells count="9">
    <mergeCell ref="A18:B18"/>
    <mergeCell ref="A20:B20"/>
    <mergeCell ref="B1:B2"/>
    <mergeCell ref="C1:C2"/>
    <mergeCell ref="I1:I2"/>
    <mergeCell ref="C16:C17"/>
    <mergeCell ref="D16:D17"/>
    <mergeCell ref="E16:E17"/>
    <mergeCell ref="F16:F1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42"/>
  <sheetViews>
    <sheetView showGridLines="0" topLeftCell="U1" workbookViewId="0">
      <selection activeCell="U1" sqref="U1:Z1"/>
    </sheetView>
  </sheetViews>
  <sheetFormatPr baseColWidth="10" defaultRowHeight="15" x14ac:dyDescent="0.25"/>
  <cols>
    <col min="2" max="8" width="11" style="1"/>
    <col min="9" max="9" width="3" style="51" customWidth="1"/>
    <col min="10" max="10" width="11" style="1"/>
    <col min="11" max="11" width="29" style="1" customWidth="1"/>
    <col min="12" max="12" width="11.875" style="1" customWidth="1"/>
    <col min="13" max="13" width="26.875" style="1" bestFit="1" customWidth="1"/>
    <col min="14" max="15" width="11" style="1"/>
    <col min="16" max="16" width="12.25" style="1" customWidth="1"/>
    <col min="17" max="20" width="11" style="1"/>
    <col min="21" max="21" width="20" style="1" customWidth="1"/>
    <col min="22" max="22" width="12.125" style="1" customWidth="1"/>
    <col min="23" max="27" width="11.125" style="1" bestFit="1" customWidth="1"/>
    <col min="28" max="28" width="11" style="1"/>
    <col min="29" max="29" width="14" style="1" customWidth="1"/>
    <col min="30" max="34" width="11" style="1"/>
    <col min="35" max="35" width="1.875" style="1" customWidth="1"/>
    <col min="36" max="36" width="10.625" style="1" bestFit="1" customWidth="1"/>
    <col min="37" max="38" width="11" style="1"/>
    <col min="39" max="39" width="14.5" style="1" customWidth="1"/>
    <col min="40" max="41" width="12.625" style="1" customWidth="1"/>
    <col min="42" max="42" width="13.125" style="1" customWidth="1"/>
    <col min="43" max="43" width="13.5" style="1" customWidth="1"/>
    <col min="44" max="47" width="11.25" style="1" customWidth="1"/>
    <col min="48" max="50" width="11" style="1"/>
    <col min="51" max="51" width="11.75" style="1" bestFit="1" customWidth="1"/>
    <col min="52" max="16384" width="11" style="1"/>
  </cols>
  <sheetData>
    <row r="1" spans="1:47" x14ac:dyDescent="0.25">
      <c r="A1" t="s">
        <v>24</v>
      </c>
      <c r="B1" s="1">
        <f>+B3+B5</f>
        <v>216000</v>
      </c>
      <c r="C1" s="1" t="s">
        <v>100</v>
      </c>
      <c r="D1" s="467" t="s">
        <v>101</v>
      </c>
      <c r="E1" s="467"/>
      <c r="F1" s="467"/>
      <c r="G1" s="467"/>
      <c r="H1" s="72" t="s">
        <v>93</v>
      </c>
      <c r="I1" s="73"/>
      <c r="J1" s="72" t="s">
        <v>4</v>
      </c>
      <c r="K1" s="72" t="s">
        <v>102</v>
      </c>
      <c r="L1" s="72"/>
      <c r="N1" s="108"/>
      <c r="O1" s="468"/>
      <c r="P1" s="468"/>
      <c r="Q1" s="468"/>
      <c r="R1" s="468"/>
      <c r="U1" s="466" t="s">
        <v>173</v>
      </c>
      <c r="V1" s="466"/>
      <c r="W1" s="466"/>
      <c r="X1" s="466"/>
      <c r="Y1" s="466"/>
      <c r="Z1" s="466"/>
      <c r="AA1" s="112"/>
      <c r="AM1" s="108" t="s">
        <v>115</v>
      </c>
      <c r="AN1" s="132"/>
    </row>
    <row r="2" spans="1:47" ht="41.25" customHeight="1" x14ac:dyDescent="0.25">
      <c r="D2" s="410" t="s">
        <v>1</v>
      </c>
      <c r="E2" s="11" t="s">
        <v>1</v>
      </c>
      <c r="F2" s="411">
        <f>100%-F4</f>
        <v>0.12</v>
      </c>
      <c r="G2" s="412">
        <f>+F2*B3</f>
        <v>21600</v>
      </c>
      <c r="H2" s="412">
        <f>+G2/12</f>
        <v>1800</v>
      </c>
      <c r="I2" s="53"/>
      <c r="J2" s="410">
        <f>+SUM(H2:H4)*2.3</f>
        <v>34500</v>
      </c>
      <c r="K2" s="410">
        <f>+SUM(H2:H4)/2</f>
        <v>7500</v>
      </c>
      <c r="L2" s="50"/>
      <c r="M2" s="108" t="s">
        <v>177</v>
      </c>
      <c r="N2" s="108"/>
      <c r="U2" s="112"/>
      <c r="V2" s="113" t="s">
        <v>175</v>
      </c>
      <c r="W2" s="113" t="s">
        <v>174</v>
      </c>
      <c r="X2" s="113" t="s">
        <v>167</v>
      </c>
      <c r="Y2" s="113" t="s">
        <v>168</v>
      </c>
      <c r="Z2" s="113" t="s">
        <v>169</v>
      </c>
      <c r="AA2" s="112"/>
      <c r="AB2" s="109" t="s">
        <v>97</v>
      </c>
      <c r="AC2" s="110" t="s">
        <v>55</v>
      </c>
      <c r="AD2" s="110" t="s">
        <v>9</v>
      </c>
      <c r="AE2" s="109" t="s">
        <v>22</v>
      </c>
      <c r="AF2" s="109" t="s">
        <v>180</v>
      </c>
      <c r="AG2" s="109" t="s">
        <v>181</v>
      </c>
      <c r="AH2" s="109" t="s">
        <v>182</v>
      </c>
      <c r="AI2" s="114"/>
      <c r="AJ2" s="109" t="s">
        <v>106</v>
      </c>
      <c r="AK2" s="109" t="s">
        <v>108</v>
      </c>
      <c r="AM2" s="24"/>
      <c r="AN2" s="24"/>
      <c r="AO2" s="416" t="s">
        <v>185</v>
      </c>
      <c r="AP2" s="416" t="s">
        <v>207</v>
      </c>
      <c r="AQ2" s="416" t="s">
        <v>186</v>
      </c>
      <c r="AS2" s="416" t="s">
        <v>187</v>
      </c>
      <c r="AT2" s="416" t="s">
        <v>188</v>
      </c>
      <c r="AU2" s="416" t="s">
        <v>162</v>
      </c>
    </row>
    <row r="3" spans="1:47" ht="18.75" customHeight="1" x14ac:dyDescent="0.25">
      <c r="A3" t="s">
        <v>1</v>
      </c>
      <c r="B3" s="1">
        <v>180000</v>
      </c>
      <c r="C3" s="1" t="s">
        <v>100</v>
      </c>
      <c r="D3" s="410"/>
      <c r="E3" s="11" t="s">
        <v>85</v>
      </c>
      <c r="F3" s="411"/>
      <c r="G3" s="412"/>
      <c r="H3" s="412"/>
      <c r="I3" s="53"/>
      <c r="J3" s="410"/>
      <c r="K3" s="410"/>
      <c r="L3" s="50"/>
      <c r="M3" s="1" t="s">
        <v>178</v>
      </c>
      <c r="N3" s="1">
        <v>34500</v>
      </c>
      <c r="U3" s="112" t="s">
        <v>170</v>
      </c>
      <c r="V3" s="112">
        <f>+N3</f>
        <v>34500</v>
      </c>
      <c r="W3" s="112">
        <f>IF(V7&lt;0,0,V7)</f>
        <v>8250</v>
      </c>
      <c r="X3" s="112">
        <f>IF(W7&lt;0,0,W7)</f>
        <v>0</v>
      </c>
      <c r="Y3" s="112">
        <f>IF(X7&lt;0,0,X7)</f>
        <v>0</v>
      </c>
      <c r="Z3" s="112">
        <f>IF(Y7&lt;0,0,Y7)</f>
        <v>0</v>
      </c>
      <c r="AA3" s="112"/>
      <c r="AB3" s="111" t="s">
        <v>18</v>
      </c>
      <c r="AC3" s="111" t="s">
        <v>98</v>
      </c>
      <c r="AD3" s="117">
        <v>1</v>
      </c>
      <c r="AE3" s="118">
        <v>35000</v>
      </c>
      <c r="AF3" s="119">
        <v>10.5</v>
      </c>
      <c r="AG3" s="120">
        <v>5.5</v>
      </c>
      <c r="AH3" s="120">
        <v>26</v>
      </c>
      <c r="AI3" s="121"/>
      <c r="AJ3" s="116">
        <f>+AE3*AF3*$N$9+AG3*AE3+AH3*AE3</f>
        <v>2205000</v>
      </c>
      <c r="AK3" s="116">
        <f>+AJ3/AE3</f>
        <v>63</v>
      </c>
      <c r="AM3" s="133"/>
      <c r="AN3" s="24"/>
      <c r="AO3" s="416"/>
      <c r="AP3" s="416"/>
      <c r="AQ3" s="416"/>
      <c r="AS3" s="416"/>
      <c r="AT3" s="416"/>
      <c r="AU3" s="416"/>
    </row>
    <row r="4" spans="1:47" ht="18.75" customHeight="1" x14ac:dyDescent="0.25">
      <c r="D4" s="410"/>
      <c r="E4" s="11" t="s">
        <v>86</v>
      </c>
      <c r="F4" s="69">
        <v>0.88</v>
      </c>
      <c r="G4" s="70">
        <f>+F4*B3</f>
        <v>158400</v>
      </c>
      <c r="H4" s="70">
        <f>+G4/12</f>
        <v>13200</v>
      </c>
      <c r="I4" s="53"/>
      <c r="J4" s="410"/>
      <c r="K4" s="410"/>
      <c r="L4" s="50"/>
      <c r="M4" s="31" t="s">
        <v>176</v>
      </c>
      <c r="N4" s="1">
        <v>22500</v>
      </c>
      <c r="U4" s="112" t="s">
        <v>103</v>
      </c>
      <c r="V4" s="112">
        <f>+N5/2</f>
        <v>3750</v>
      </c>
      <c r="W4" s="112">
        <f>+N5</f>
        <v>7500</v>
      </c>
      <c r="X4" s="112">
        <f>+W4</f>
        <v>7500</v>
      </c>
      <c r="Y4" s="112">
        <f t="shared" ref="Y4:Z4" si="0">+X4</f>
        <v>7500</v>
      </c>
      <c r="Z4" s="112">
        <f t="shared" si="0"/>
        <v>7500</v>
      </c>
      <c r="AA4" s="112"/>
      <c r="AB4" s="464" t="s">
        <v>10</v>
      </c>
      <c r="AC4" s="111" t="s">
        <v>99</v>
      </c>
      <c r="AD4" s="117">
        <v>0.4</v>
      </c>
      <c r="AE4" s="122">
        <v>35000</v>
      </c>
      <c r="AF4" s="119">
        <v>16.2</v>
      </c>
      <c r="AG4" s="120">
        <v>6</v>
      </c>
      <c r="AH4" s="120">
        <v>27</v>
      </c>
      <c r="AI4" s="114"/>
      <c r="AJ4" s="116">
        <f>+AE4*AF4*$N$9+AG4*AE4+AH4*AE4</f>
        <v>2856000</v>
      </c>
      <c r="AK4" s="116">
        <f>+AJ4/AE4</f>
        <v>81.599999999999994</v>
      </c>
      <c r="AM4" s="417" t="s">
        <v>192</v>
      </c>
      <c r="AN4" s="417"/>
      <c r="AO4" s="105">
        <v>1850</v>
      </c>
      <c r="AP4" s="45">
        <v>8.5</v>
      </c>
      <c r="AQ4" s="105">
        <v>105</v>
      </c>
      <c r="AS4" s="88">
        <f>+AO6/1000*AO4+AP4*AO6</f>
        <v>362250</v>
      </c>
      <c r="AT4" s="131" t="e">
        <f>+AO8/100*AQ4</f>
        <v>#REF!</v>
      </c>
      <c r="AU4" s="88" t="e">
        <f>+AO10*AO9*AK4*1.15</f>
        <v>#REF!</v>
      </c>
    </row>
    <row r="5" spans="1:47" ht="18.75" customHeight="1" x14ac:dyDescent="0.25">
      <c r="A5" t="s">
        <v>87</v>
      </c>
      <c r="B5" s="1">
        <v>36000</v>
      </c>
      <c r="D5" s="50"/>
      <c r="E5" s="51"/>
      <c r="F5" s="52"/>
      <c r="G5" s="53"/>
      <c r="H5" s="53"/>
      <c r="I5" s="53"/>
      <c r="M5" s="1" t="s">
        <v>102</v>
      </c>
      <c r="N5" s="1">
        <v>7500</v>
      </c>
      <c r="U5" s="112" t="s">
        <v>171</v>
      </c>
      <c r="V5" s="112">
        <f>+N6*0.5</f>
        <v>7500</v>
      </c>
      <c r="W5" s="112">
        <f>+N6*(100%+$N$7)</f>
        <v>16500</v>
      </c>
      <c r="X5" s="112">
        <f>+W5*(100%+$N$7)</f>
        <v>18150</v>
      </c>
      <c r="Y5" s="112">
        <f t="shared" ref="Y5:Z5" si="1">+X5*(100%+$N$7)</f>
        <v>19965</v>
      </c>
      <c r="Z5" s="112">
        <f t="shared" si="1"/>
        <v>21961.5</v>
      </c>
      <c r="AA5" s="112"/>
      <c r="AB5" s="465"/>
      <c r="AC5" s="124" t="s">
        <v>183</v>
      </c>
      <c r="AD5" s="125">
        <v>0.6</v>
      </c>
      <c r="AE5" s="126">
        <v>35000</v>
      </c>
      <c r="AF5" s="127">
        <v>15.8</v>
      </c>
      <c r="AG5" s="128">
        <v>5</v>
      </c>
      <c r="AH5" s="128">
        <v>25.5</v>
      </c>
      <c r="AI5" s="114"/>
      <c r="AJ5" s="129">
        <f>+AE5*AF5*$N$9+AG5*AE5+AH5*AE5</f>
        <v>2726500</v>
      </c>
      <c r="AK5" s="129">
        <f>+AJ5/AE5</f>
        <v>77.900000000000006</v>
      </c>
      <c r="AM5" s="134"/>
      <c r="AN5" s="134"/>
      <c r="AO5" s="12"/>
      <c r="AP5" s="12"/>
      <c r="AQ5" s="12"/>
      <c r="AT5" s="89"/>
    </row>
    <row r="6" spans="1:47" ht="15" customHeight="1" x14ac:dyDescent="0.25">
      <c r="D6" s="410" t="s">
        <v>2</v>
      </c>
      <c r="E6" s="11" t="s">
        <v>87</v>
      </c>
      <c r="F6" s="411">
        <v>0.99</v>
      </c>
      <c r="G6" s="412">
        <f>+F6*B5</f>
        <v>35640</v>
      </c>
      <c r="H6" s="412">
        <f>+G6/12</f>
        <v>2970</v>
      </c>
      <c r="I6" s="53"/>
      <c r="M6" s="71" t="s">
        <v>104</v>
      </c>
      <c r="N6" s="71">
        <v>15000</v>
      </c>
      <c r="U6" s="112" t="s">
        <v>176</v>
      </c>
      <c r="V6" s="112">
        <f>+N4</f>
        <v>22500</v>
      </c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M6" s="132" t="s">
        <v>194</v>
      </c>
      <c r="AN6" s="132"/>
      <c r="AO6" s="1">
        <f>+AE4</f>
        <v>35000</v>
      </c>
    </row>
    <row r="7" spans="1:47" ht="15" customHeight="1" x14ac:dyDescent="0.25">
      <c r="D7" s="410"/>
      <c r="E7" s="11" t="s">
        <v>88</v>
      </c>
      <c r="F7" s="411"/>
      <c r="G7" s="412"/>
      <c r="H7" s="412"/>
      <c r="I7" s="53"/>
      <c r="M7" s="1" t="s">
        <v>179</v>
      </c>
      <c r="N7" s="32">
        <v>0.1</v>
      </c>
      <c r="U7" s="112" t="s">
        <v>172</v>
      </c>
      <c r="V7" s="112">
        <f>+V3+V4-V5-V6</f>
        <v>8250</v>
      </c>
      <c r="W7" s="112">
        <f>+W3+W4-W5</f>
        <v>-750</v>
      </c>
      <c r="X7" s="112">
        <f>+X3+X4-X5</f>
        <v>-10650</v>
      </c>
      <c r="Y7" s="112">
        <f>+Y3+Y4-Y5</f>
        <v>-12465</v>
      </c>
      <c r="Z7" s="112">
        <f>+Z3+Z4-Z5</f>
        <v>-14461.5</v>
      </c>
      <c r="AA7" s="112"/>
      <c r="AB7" s="112"/>
      <c r="AC7" s="112"/>
      <c r="AI7" s="114"/>
      <c r="AM7" s="123" t="s">
        <v>190</v>
      </c>
      <c r="AN7" s="132"/>
      <c r="AO7" s="32" t="e">
        <f>+#REF!</f>
        <v>#REF!</v>
      </c>
    </row>
    <row r="8" spans="1:47" x14ac:dyDescent="0.25">
      <c r="D8" s="410"/>
      <c r="E8" s="11" t="s">
        <v>89</v>
      </c>
      <c r="F8" s="411"/>
      <c r="G8" s="412"/>
      <c r="H8" s="412"/>
      <c r="I8" s="53"/>
      <c r="M8" s="71"/>
      <c r="U8" s="112"/>
      <c r="V8" s="112"/>
      <c r="W8" s="112"/>
      <c r="X8" s="112"/>
      <c r="Y8" s="112"/>
      <c r="Z8" s="112"/>
      <c r="AA8" s="112"/>
      <c r="AB8" s="112"/>
      <c r="AK8" s="32"/>
      <c r="AM8" s="132" t="s">
        <v>195</v>
      </c>
      <c r="AN8" s="132"/>
      <c r="AO8" s="1" t="e">
        <f>+AO6*AO7</f>
        <v>#REF!</v>
      </c>
    </row>
    <row r="9" spans="1:47" x14ac:dyDescent="0.25">
      <c r="D9" s="410"/>
      <c r="E9" s="11" t="s">
        <v>90</v>
      </c>
      <c r="F9" s="411"/>
      <c r="G9" s="412"/>
      <c r="H9" s="412"/>
      <c r="I9" s="53"/>
      <c r="M9" s="1" t="s">
        <v>184</v>
      </c>
      <c r="N9" s="115">
        <v>3</v>
      </c>
      <c r="U9" s="112"/>
      <c r="V9" s="112"/>
      <c r="W9" s="112">
        <f>+SUM(W7:Z7)</f>
        <v>-38326.5</v>
      </c>
      <c r="X9" s="112"/>
      <c r="Y9" s="112"/>
      <c r="Z9" s="112"/>
      <c r="AA9" s="112"/>
      <c r="AM9" s="132" t="s">
        <v>196</v>
      </c>
      <c r="AN9" s="132"/>
      <c r="AO9" s="1" t="e">
        <f>+AO6-AO8</f>
        <v>#REF!</v>
      </c>
    </row>
    <row r="10" spans="1:47" x14ac:dyDescent="0.25">
      <c r="D10" s="410"/>
      <c r="E10" s="11" t="s">
        <v>91</v>
      </c>
      <c r="F10" s="69">
        <v>0.01</v>
      </c>
      <c r="G10" s="70">
        <f>+F10*B5</f>
        <v>360</v>
      </c>
      <c r="H10" s="70">
        <f>+G10/12</f>
        <v>30</v>
      </c>
      <c r="I10" s="53"/>
      <c r="U10" s="112"/>
      <c r="V10" s="112"/>
      <c r="W10" s="112"/>
      <c r="X10" s="112"/>
      <c r="Y10" s="112"/>
      <c r="Z10" s="112"/>
      <c r="AA10" s="112"/>
      <c r="AF10" s="1">
        <f>+AF11/AG11</f>
        <v>52.5</v>
      </c>
      <c r="AG10" s="152"/>
      <c r="AM10" s="132" t="s">
        <v>197</v>
      </c>
      <c r="AN10" s="132"/>
      <c r="AO10" s="32">
        <v>0.05</v>
      </c>
    </row>
    <row r="11" spans="1:47" ht="24" customHeight="1" x14ac:dyDescent="0.25">
      <c r="M11" s="108" t="s">
        <v>189</v>
      </c>
      <c r="U11" s="112"/>
      <c r="V11" s="112"/>
      <c r="W11" s="112"/>
      <c r="X11" s="112"/>
      <c r="Y11" s="112"/>
      <c r="Z11" s="112"/>
      <c r="AA11" s="112"/>
      <c r="AF11" s="1">
        <f>+AF3*N9</f>
        <v>31.5</v>
      </c>
      <c r="AG11" s="152">
        <v>0.6</v>
      </c>
      <c r="AM11" s="132"/>
      <c r="AN11" s="132"/>
    </row>
    <row r="12" spans="1:47" ht="24" customHeight="1" x14ac:dyDescent="0.25">
      <c r="D12" s="413" t="s">
        <v>77</v>
      </c>
      <c r="E12" s="413"/>
      <c r="F12" s="413"/>
      <c r="G12" s="11">
        <f>+SUM(G2:G10)</f>
        <v>216000</v>
      </c>
      <c r="H12" s="11">
        <f>+SUM(H2:H10)</f>
        <v>18000</v>
      </c>
      <c r="M12" s="123" t="s">
        <v>190</v>
      </c>
      <c r="N12" s="32">
        <v>0.35</v>
      </c>
      <c r="AM12" s="108" t="s">
        <v>198</v>
      </c>
      <c r="AN12" s="132"/>
    </row>
    <row r="13" spans="1:47" x14ac:dyDescent="0.25">
      <c r="M13" s="1" t="s">
        <v>191</v>
      </c>
      <c r="N13" s="1">
        <v>17500</v>
      </c>
    </row>
    <row r="14" spans="1:47" ht="21.75" customHeight="1" x14ac:dyDescent="0.25">
      <c r="M14" s="71"/>
      <c r="AM14" s="13"/>
      <c r="AN14" s="13"/>
      <c r="AO14" s="416" t="s">
        <v>185</v>
      </c>
      <c r="AP14" s="416" t="s">
        <v>208</v>
      </c>
      <c r="AQ14" s="416" t="s">
        <v>207</v>
      </c>
      <c r="AR14" s="416" t="s">
        <v>199</v>
      </c>
      <c r="AT14" s="416" t="s">
        <v>201</v>
      </c>
      <c r="AU14" s="416" t="s">
        <v>202</v>
      </c>
    </row>
    <row r="15" spans="1:47" ht="24.75" customHeight="1" x14ac:dyDescent="0.25">
      <c r="M15" s="108" t="s">
        <v>193</v>
      </c>
      <c r="N15" s="130">
        <v>95</v>
      </c>
      <c r="AM15" s="12"/>
      <c r="AN15" s="13"/>
      <c r="AO15" s="416"/>
      <c r="AP15" s="416"/>
      <c r="AQ15" s="416"/>
      <c r="AR15" s="416"/>
      <c r="AT15" s="416"/>
      <c r="AU15" s="416"/>
    </row>
    <row r="16" spans="1:47" x14ac:dyDescent="0.25">
      <c r="AM16" s="417" t="s">
        <v>94</v>
      </c>
      <c r="AN16" s="417"/>
      <c r="AO16" s="105">
        <v>950</v>
      </c>
      <c r="AP16" s="45">
        <v>1.5</v>
      </c>
      <c r="AQ16" s="45">
        <v>2.5</v>
      </c>
      <c r="AR16" s="105">
        <v>225</v>
      </c>
      <c r="AT16" s="88">
        <f>+AO16*AO18/1000*2+AP16*AO18*2+AQ16*AO18/100</f>
        <v>172375</v>
      </c>
      <c r="AU16" s="131">
        <f>+AR16*AO19/100</f>
        <v>39375</v>
      </c>
    </row>
    <row r="17" spans="11:55" ht="15" customHeight="1" x14ac:dyDescent="0.25"/>
    <row r="18" spans="11:55" x14ac:dyDescent="0.25">
      <c r="K18" s="71" t="s">
        <v>110</v>
      </c>
      <c r="N18" s="1">
        <v>35</v>
      </c>
      <c r="O18" s="1" t="s">
        <v>112</v>
      </c>
      <c r="AM18" s="1" t="s">
        <v>209</v>
      </c>
      <c r="AO18" s="1">
        <f>+AO6</f>
        <v>35000</v>
      </c>
    </row>
    <row r="19" spans="11:55" ht="15" customHeight="1" x14ac:dyDescent="0.25">
      <c r="AM19" s="1" t="s">
        <v>200</v>
      </c>
      <c r="AO19" s="1">
        <v>17500</v>
      </c>
    </row>
    <row r="20" spans="11:55" x14ac:dyDescent="0.25">
      <c r="K20" s="13"/>
      <c r="L20" s="416" t="s">
        <v>111</v>
      </c>
      <c r="M20" s="416" t="s">
        <v>68</v>
      </c>
    </row>
    <row r="21" spans="11:55" x14ac:dyDescent="0.25">
      <c r="K21" s="12"/>
      <c r="L21" s="425"/>
      <c r="M21" s="425"/>
      <c r="AM21" s="108" t="s">
        <v>203</v>
      </c>
    </row>
    <row r="22" spans="11:55" ht="15.75" customHeight="1" x14ac:dyDescent="0.25">
      <c r="K22" s="55" t="s">
        <v>94</v>
      </c>
      <c r="L22" s="58">
        <v>1850</v>
      </c>
      <c r="M22" s="64">
        <v>14.5</v>
      </c>
    </row>
    <row r="23" spans="11:55" ht="15.75" customHeight="1" x14ac:dyDescent="0.25">
      <c r="K23" s="56" t="s">
        <v>48</v>
      </c>
      <c r="L23" s="59">
        <v>16050</v>
      </c>
      <c r="M23" s="65" t="s">
        <v>66</v>
      </c>
      <c r="AO23" s="138" t="s">
        <v>174</v>
      </c>
      <c r="AP23" s="138" t="s">
        <v>167</v>
      </c>
      <c r="AQ23" s="138" t="s">
        <v>168</v>
      </c>
      <c r="AR23" s="107" t="s">
        <v>77</v>
      </c>
    </row>
    <row r="24" spans="11:55" ht="15.75" customHeight="1" x14ac:dyDescent="0.25">
      <c r="K24" s="56" t="s">
        <v>49</v>
      </c>
      <c r="L24" s="59">
        <v>5600</v>
      </c>
      <c r="M24" s="65" t="s">
        <v>66</v>
      </c>
      <c r="AM24" s="136" t="s">
        <v>204</v>
      </c>
      <c r="AN24" s="137"/>
      <c r="AO24" s="107">
        <f>+W7*-1</f>
        <v>750</v>
      </c>
      <c r="AP24" s="107">
        <f t="shared" ref="AP24:AQ24" si="2">+X7*-1</f>
        <v>10650</v>
      </c>
      <c r="AQ24" s="107">
        <f t="shared" si="2"/>
        <v>12465</v>
      </c>
      <c r="AR24" s="107">
        <f>+SUM(AO24:AQ24)</f>
        <v>23865</v>
      </c>
    </row>
    <row r="25" spans="11:55" ht="15.75" customHeight="1" x14ac:dyDescent="0.25">
      <c r="K25" s="56" t="s">
        <v>51</v>
      </c>
      <c r="L25" s="59">
        <v>4500</v>
      </c>
      <c r="M25" s="65" t="s">
        <v>66</v>
      </c>
    </row>
    <row r="26" spans="11:55" ht="15.75" customHeight="1" x14ac:dyDescent="0.25">
      <c r="K26" s="57" t="s">
        <v>95</v>
      </c>
      <c r="L26" s="60">
        <v>1600</v>
      </c>
      <c r="M26" s="66">
        <v>14.5</v>
      </c>
      <c r="AM26" s="1" t="s">
        <v>205</v>
      </c>
      <c r="AO26" s="130">
        <v>120</v>
      </c>
      <c r="AR26" s="135">
        <f>+AR24*AK5</f>
        <v>1859083.5000000002</v>
      </c>
    </row>
    <row r="28" spans="11:55" x14ac:dyDescent="0.25">
      <c r="K28" s="1" t="s">
        <v>113</v>
      </c>
      <c r="L28" s="1">
        <f>+SUM(L22:L26)</f>
        <v>29600</v>
      </c>
      <c r="N28" s="71">
        <f>+L28*N18+M26*2*O8</f>
        <v>1036000</v>
      </c>
    </row>
    <row r="30" spans="11:55" x14ac:dyDescent="0.25">
      <c r="K30" s="71" t="s">
        <v>115</v>
      </c>
      <c r="AM30" s="108" t="s">
        <v>110</v>
      </c>
      <c r="BA30" s="1" t="s">
        <v>219</v>
      </c>
    </row>
    <row r="32" spans="11:55" ht="15" customHeight="1" x14ac:dyDescent="0.25">
      <c r="K32" s="13"/>
      <c r="L32" s="13"/>
      <c r="M32" s="416" t="s">
        <v>116</v>
      </c>
      <c r="N32" s="416" t="s">
        <v>68</v>
      </c>
      <c r="O32" s="416" t="s">
        <v>119</v>
      </c>
      <c r="P32" s="416" t="s">
        <v>120</v>
      </c>
      <c r="R32" s="416" t="s">
        <v>106</v>
      </c>
      <c r="S32" s="416" t="s">
        <v>121</v>
      </c>
      <c r="AM32" s="13"/>
      <c r="AO32" s="416" t="s">
        <v>111</v>
      </c>
      <c r="AP32" s="416" t="s">
        <v>208</v>
      </c>
      <c r="AR32" s="416" t="s">
        <v>211</v>
      </c>
      <c r="AS32" s="148"/>
      <c r="AU32" s="416" t="s">
        <v>212</v>
      </c>
      <c r="AV32" s="416"/>
      <c r="AW32" s="416"/>
      <c r="BA32" s="416" t="s">
        <v>162</v>
      </c>
      <c r="BB32" s="416"/>
      <c r="BC32" s="416"/>
    </row>
    <row r="33" spans="11:55" ht="20.25" customHeight="1" x14ac:dyDescent="0.25">
      <c r="K33" s="12"/>
      <c r="L33" s="13"/>
      <c r="M33" s="416"/>
      <c r="N33" s="416"/>
      <c r="O33" s="425"/>
      <c r="P33" s="416"/>
      <c r="R33" s="416"/>
      <c r="S33" s="416"/>
      <c r="AM33" s="12"/>
      <c r="AO33" s="425"/>
      <c r="AP33" s="416"/>
      <c r="AR33" s="416"/>
      <c r="AS33" s="148"/>
      <c r="AU33" s="416"/>
      <c r="AV33" s="416"/>
      <c r="AW33" s="416"/>
      <c r="BA33" s="416"/>
      <c r="BB33" s="416"/>
      <c r="BC33" s="416"/>
    </row>
    <row r="34" spans="11:55" ht="18.75" customHeight="1" x14ac:dyDescent="0.25">
      <c r="K34" s="417" t="s">
        <v>63</v>
      </c>
      <c r="L34" s="417"/>
      <c r="M34" s="67">
        <v>3850</v>
      </c>
      <c r="N34" s="45">
        <v>10.050000000000001</v>
      </c>
      <c r="O34" s="68" t="s">
        <v>66</v>
      </c>
      <c r="P34" s="67">
        <v>1500</v>
      </c>
      <c r="R34" s="88">
        <f>+M34*N18+N34*O11</f>
        <v>134750</v>
      </c>
      <c r="S34" s="88">
        <f>+R34+P38</f>
        <v>134750</v>
      </c>
      <c r="AM34" s="469" t="s">
        <v>94</v>
      </c>
      <c r="AN34" s="469"/>
      <c r="AO34" s="139">
        <v>950</v>
      </c>
      <c r="AP34" s="140">
        <v>1.5</v>
      </c>
      <c r="AR34" s="145">
        <f>+AO34*AP41/1000+AP34*AP41</f>
        <v>85750</v>
      </c>
      <c r="AS34" s="151"/>
      <c r="AU34" s="107" t="s">
        <v>9</v>
      </c>
      <c r="AV34" s="107" t="s">
        <v>100</v>
      </c>
      <c r="AW34" s="107" t="s">
        <v>213</v>
      </c>
      <c r="BA34" s="107" t="s">
        <v>9</v>
      </c>
      <c r="BB34" s="107" t="s">
        <v>100</v>
      </c>
      <c r="BC34" s="107" t="s">
        <v>213</v>
      </c>
    </row>
    <row r="35" spans="11:55" ht="18.75" customHeight="1" x14ac:dyDescent="0.25">
      <c r="K35" s="46"/>
      <c r="L35" s="46"/>
      <c r="M35" s="12"/>
      <c r="N35" s="12"/>
      <c r="O35" s="12"/>
      <c r="R35" s="89"/>
      <c r="S35" s="89"/>
      <c r="AM35" s="469" t="s">
        <v>48</v>
      </c>
      <c r="AN35" s="469"/>
      <c r="AO35" s="141">
        <v>15105</v>
      </c>
      <c r="AP35" s="142" t="s">
        <v>66</v>
      </c>
      <c r="AR35" s="146">
        <f>+AO35*$AP$41/1000</f>
        <v>528675</v>
      </c>
      <c r="AS35" s="151"/>
      <c r="AT35" s="132" t="s">
        <v>216</v>
      </c>
      <c r="AU35" s="106" t="e">
        <f>+#REF!</f>
        <v>#REF!</v>
      </c>
      <c r="AV35" s="107" t="e">
        <f>+$AP$41*AU35</f>
        <v>#REF!</v>
      </c>
      <c r="AW35" s="107" t="e">
        <f>+AV35*$AK$3</f>
        <v>#REF!</v>
      </c>
      <c r="AY35" s="470" t="s">
        <v>216</v>
      </c>
      <c r="AZ35" s="150" t="s">
        <v>215</v>
      </c>
      <c r="BA35" s="106" t="e">
        <f>+#REF!</f>
        <v>#REF!</v>
      </c>
      <c r="BB35" s="107" t="e">
        <f>+BA35*AV41</f>
        <v>#REF!</v>
      </c>
      <c r="BC35" s="107" t="e">
        <f>+BB35*$AK$3*1.15</f>
        <v>#REF!</v>
      </c>
    </row>
    <row r="36" spans="11:55" ht="18.75" customHeight="1" x14ac:dyDescent="0.25">
      <c r="K36" s="417" t="s">
        <v>69</v>
      </c>
      <c r="L36" s="417"/>
      <c r="M36" s="67">
        <v>1850</v>
      </c>
      <c r="N36" s="26">
        <v>14.5</v>
      </c>
      <c r="O36" s="67">
        <v>525</v>
      </c>
      <c r="P36" s="68" t="s">
        <v>66</v>
      </c>
      <c r="R36" s="88">
        <f>+M36*N18+N36*O11</f>
        <v>64750</v>
      </c>
      <c r="S36" s="88">
        <f>+R36+O38</f>
        <v>64750</v>
      </c>
      <c r="AM36" s="469" t="s">
        <v>206</v>
      </c>
      <c r="AN36" s="469"/>
      <c r="AO36" s="141">
        <v>7650</v>
      </c>
      <c r="AP36" s="142" t="s">
        <v>66</v>
      </c>
      <c r="AR36" s="146">
        <f t="shared" ref="AR36:AR37" si="3">+AO36*$AP$41/1000</f>
        <v>267750</v>
      </c>
      <c r="AS36" s="151"/>
      <c r="AT36" s="132" t="s">
        <v>217</v>
      </c>
      <c r="AU36" s="106" t="e">
        <f>+#REF!</f>
        <v>#REF!</v>
      </c>
      <c r="AV36" s="107" t="e">
        <f>+$AP$41*AU36</f>
        <v>#REF!</v>
      </c>
      <c r="AW36" s="107" t="e">
        <f>+AV36*$AK$3</f>
        <v>#REF!</v>
      </c>
      <c r="AY36" s="470"/>
      <c r="AZ36" s="149" t="s">
        <v>214</v>
      </c>
      <c r="BA36" s="106" t="e">
        <f>+#REF!</f>
        <v>#REF!</v>
      </c>
      <c r="BB36" s="107" t="e">
        <f>+BA36*AP41</f>
        <v>#REF!</v>
      </c>
      <c r="BC36" s="107" t="e">
        <f>+BB36*$AK$3*1.15</f>
        <v>#REF!</v>
      </c>
    </row>
    <row r="37" spans="11:55" ht="18.75" customHeight="1" x14ac:dyDescent="0.25">
      <c r="AM37" s="469" t="s">
        <v>51</v>
      </c>
      <c r="AN37" s="469"/>
      <c r="AO37" s="141">
        <v>4500</v>
      </c>
      <c r="AP37" s="142" t="s">
        <v>66</v>
      </c>
      <c r="AR37" s="146">
        <f t="shared" si="3"/>
        <v>157500</v>
      </c>
      <c r="AS37" s="151"/>
      <c r="AY37" s="470" t="s">
        <v>217</v>
      </c>
      <c r="AZ37" s="150" t="s">
        <v>215</v>
      </c>
      <c r="BA37" s="106" t="e">
        <f>+#REF!</f>
        <v>#REF!</v>
      </c>
      <c r="BB37" s="107" t="e">
        <f>+BA37*AV42</f>
        <v>#REF!</v>
      </c>
      <c r="BC37" s="107" t="e">
        <f>+BB37*$AK$3*1.15</f>
        <v>#REF!</v>
      </c>
    </row>
    <row r="38" spans="11:55" ht="18.75" customHeight="1" x14ac:dyDescent="0.25">
      <c r="O38" s="1">
        <f>+O36*O8/100*0.5</f>
        <v>0</v>
      </c>
      <c r="P38" s="1">
        <f>+P34*O11/100*0.35</f>
        <v>0</v>
      </c>
      <c r="AM38" s="469" t="s">
        <v>95</v>
      </c>
      <c r="AN38" s="469"/>
      <c r="AO38" s="143">
        <v>785</v>
      </c>
      <c r="AP38" s="144">
        <v>1.5</v>
      </c>
      <c r="AR38" s="147">
        <f>+AO38*$AP$41/1000+AP38*AP41</f>
        <v>79975</v>
      </c>
      <c r="AS38" s="151"/>
      <c r="AU38" s="416" t="s">
        <v>218</v>
      </c>
      <c r="AV38" s="416"/>
      <c r="AY38" s="470"/>
      <c r="AZ38" s="149" t="s">
        <v>214</v>
      </c>
      <c r="BA38" s="106" t="e">
        <f>+#REF!</f>
        <v>#REF!</v>
      </c>
      <c r="BB38" s="107" t="e">
        <f>+BA38*AP41</f>
        <v>#REF!</v>
      </c>
      <c r="BC38" s="107" t="e">
        <f>+BB38*$AK$3*1.15</f>
        <v>#REF!</v>
      </c>
    </row>
    <row r="39" spans="11:55" x14ac:dyDescent="0.25">
      <c r="AR39" s="135">
        <f>+SUM(AR34:AR38)</f>
        <v>1119650</v>
      </c>
      <c r="AS39" s="73"/>
      <c r="AU39" s="416"/>
      <c r="AV39" s="416"/>
    </row>
    <row r="40" spans="11:55" x14ac:dyDescent="0.25">
      <c r="AU40" s="107" t="s">
        <v>9</v>
      </c>
      <c r="AV40" s="107" t="s">
        <v>100</v>
      </c>
    </row>
    <row r="41" spans="11:55" x14ac:dyDescent="0.25">
      <c r="AM41" s="1" t="s">
        <v>210</v>
      </c>
      <c r="AP41" s="1">
        <v>35000</v>
      </c>
      <c r="AT41" s="132" t="s">
        <v>216</v>
      </c>
      <c r="AU41" s="106" t="e">
        <f>100%-AU35</f>
        <v>#REF!</v>
      </c>
      <c r="AV41" s="107" t="e">
        <f>+$AP$41*AU41</f>
        <v>#REF!</v>
      </c>
    </row>
    <row r="42" spans="11:55" x14ac:dyDescent="0.25">
      <c r="AT42" s="132" t="s">
        <v>217</v>
      </c>
      <c r="AU42" s="106" t="e">
        <f>100%-AU36</f>
        <v>#REF!</v>
      </c>
      <c r="AV42" s="107" t="e">
        <f>+$AP$41*AU42</f>
        <v>#REF!</v>
      </c>
    </row>
  </sheetData>
  <mergeCells count="52">
    <mergeCell ref="BA32:BC33"/>
    <mergeCell ref="AM35:AN35"/>
    <mergeCell ref="AM36:AN36"/>
    <mergeCell ref="AM37:AN37"/>
    <mergeCell ref="AM38:AN38"/>
    <mergeCell ref="AP32:AP33"/>
    <mergeCell ref="AO32:AO33"/>
    <mergeCell ref="AM34:AN34"/>
    <mergeCell ref="AY35:AY36"/>
    <mergeCell ref="AY37:AY38"/>
    <mergeCell ref="AU38:AV39"/>
    <mergeCell ref="AR32:AR33"/>
    <mergeCell ref="AU32:AW33"/>
    <mergeCell ref="S32:S33"/>
    <mergeCell ref="M32:M33"/>
    <mergeCell ref="N32:N33"/>
    <mergeCell ref="O32:O33"/>
    <mergeCell ref="P32:P33"/>
    <mergeCell ref="K34:L34"/>
    <mergeCell ref="K36:L36"/>
    <mergeCell ref="K2:K4"/>
    <mergeCell ref="O1:R1"/>
    <mergeCell ref="L20:L21"/>
    <mergeCell ref="M20:M21"/>
    <mergeCell ref="R32:R33"/>
    <mergeCell ref="U1:Z1"/>
    <mergeCell ref="AM4:AN4"/>
    <mergeCell ref="D12:F12"/>
    <mergeCell ref="D1:G1"/>
    <mergeCell ref="H2:H3"/>
    <mergeCell ref="H6:H9"/>
    <mergeCell ref="J2:J4"/>
    <mergeCell ref="D2:D4"/>
    <mergeCell ref="F2:F3"/>
    <mergeCell ref="G2:G3"/>
    <mergeCell ref="D6:D10"/>
    <mergeCell ref="F6:F9"/>
    <mergeCell ref="G6:G9"/>
    <mergeCell ref="AU14:AU15"/>
    <mergeCell ref="AT2:AT3"/>
    <mergeCell ref="AB4:AB5"/>
    <mergeCell ref="AU2:AU3"/>
    <mergeCell ref="AO2:AO3"/>
    <mergeCell ref="AP2:AP3"/>
    <mergeCell ref="AQ2:AQ3"/>
    <mergeCell ref="AS2:AS3"/>
    <mergeCell ref="AP14:AP15"/>
    <mergeCell ref="AM16:AN16"/>
    <mergeCell ref="AO14:AO15"/>
    <mergeCell ref="AQ14:AQ15"/>
    <mergeCell ref="AR14:AR15"/>
    <mergeCell ref="AT14:AT1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8"/>
  <sheetViews>
    <sheetView topLeftCell="A62" workbookViewId="0"/>
  </sheetViews>
  <sheetFormatPr baseColWidth="10" defaultRowHeight="15" x14ac:dyDescent="0.25"/>
  <cols>
    <col min="2" max="3" width="5.75" customWidth="1"/>
    <col min="4" max="4" width="9.75" customWidth="1"/>
    <col min="5" max="5" width="8.875" bestFit="1" customWidth="1"/>
    <col min="6" max="7" width="5.75" customWidth="1"/>
    <col min="8" max="8" width="9.75" customWidth="1"/>
    <col min="9" max="9" width="8.875" bestFit="1" customWidth="1"/>
    <col min="10" max="11" width="5.75" customWidth="1"/>
    <col min="12" max="12" width="10" customWidth="1"/>
    <col min="13" max="13" width="8.875" bestFit="1" customWidth="1"/>
    <col min="14" max="15" width="5.75" customWidth="1"/>
    <col min="16" max="16" width="9.625" customWidth="1"/>
    <col min="17" max="17" width="8.875" bestFit="1" customWidth="1"/>
    <col min="18" max="19" width="5.75" customWidth="1"/>
    <col min="20" max="20" width="12.5" customWidth="1"/>
    <col min="21" max="21" width="8.875" bestFit="1" customWidth="1"/>
    <col min="22" max="22" width="5.75" customWidth="1"/>
  </cols>
  <sheetData>
    <row r="1" spans="1:24" ht="15.75" x14ac:dyDescent="0.25">
      <c r="A1" s="90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2">
        <v>0.98</v>
      </c>
      <c r="U1" s="91"/>
      <c r="V1" s="91"/>
      <c r="W1" s="93"/>
      <c r="X1" s="91"/>
    </row>
    <row r="2" spans="1:24" ht="15.75" x14ac:dyDescent="0.25">
      <c r="A2" s="91"/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101" t="s">
        <v>122</v>
      </c>
      <c r="U2" s="91"/>
      <c r="V2" s="91"/>
      <c r="W2" s="91"/>
      <c r="X2" s="91"/>
    </row>
    <row r="3" spans="1:24" ht="15.75" x14ac:dyDescent="0.25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2">
        <v>0.7</v>
      </c>
      <c r="Q3" s="91"/>
      <c r="R3" s="91"/>
      <c r="S3" s="91"/>
      <c r="T3" s="91"/>
      <c r="U3" s="91"/>
      <c r="V3" s="91"/>
      <c r="W3" s="94">
        <f>SUM(D27,H15,L10,P6,T4)</f>
        <v>6268500</v>
      </c>
      <c r="X3" s="91"/>
    </row>
    <row r="4" spans="1:24" ht="15.75" x14ac:dyDescent="0.25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101" t="s">
        <v>123</v>
      </c>
      <c r="Q4" s="91"/>
      <c r="R4" s="91"/>
      <c r="S4" s="91"/>
      <c r="T4" s="95">
        <v>0</v>
      </c>
      <c r="U4" s="96">
        <f>W3</f>
        <v>6268500</v>
      </c>
      <c r="V4" s="91"/>
      <c r="W4" s="91"/>
      <c r="X4" s="91"/>
    </row>
    <row r="5" spans="1:24" ht="15.75" x14ac:dyDescent="0.25">
      <c r="A5" s="91"/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</row>
    <row r="6" spans="1:24" ht="15.75" x14ac:dyDescent="0.25">
      <c r="A6" s="91"/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5">
        <v>0</v>
      </c>
      <c r="Q6" s="96">
        <f>IF(ABS(1-(T1+T6))&lt;=0.00001,T1*U4+T6*U9,NA())</f>
        <v>6272501</v>
      </c>
      <c r="R6" s="91"/>
      <c r="S6" s="91"/>
      <c r="T6" s="92">
        <v>0.02</v>
      </c>
      <c r="U6" s="91"/>
      <c r="V6" s="91"/>
      <c r="W6" s="91"/>
      <c r="X6" s="91"/>
    </row>
    <row r="7" spans="1:24" ht="15.75" x14ac:dyDescent="0.25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101" t="s">
        <v>124</v>
      </c>
      <c r="U7" s="91"/>
      <c r="V7" s="91"/>
      <c r="W7" s="91"/>
      <c r="X7" s="91"/>
    </row>
    <row r="8" spans="1:24" ht="15.75" x14ac:dyDescent="0.25">
      <c r="A8" s="91"/>
      <c r="B8" s="91"/>
      <c r="C8" s="91"/>
      <c r="D8" s="91"/>
      <c r="E8" s="91"/>
      <c r="F8" s="91"/>
      <c r="G8" s="91"/>
      <c r="H8" s="91"/>
      <c r="I8" s="91"/>
      <c r="J8" s="91"/>
      <c r="K8" s="91"/>
      <c r="L8" s="101" t="s">
        <v>125</v>
      </c>
      <c r="M8" s="91"/>
      <c r="N8" s="91"/>
      <c r="O8" s="91"/>
      <c r="P8" s="91"/>
      <c r="Q8" s="91"/>
      <c r="R8" s="91"/>
      <c r="S8" s="91"/>
      <c r="T8" s="91"/>
      <c r="U8" s="91"/>
      <c r="V8" s="91"/>
      <c r="W8" s="94">
        <f>SUM(D27,H15,L10,P6,T9)</f>
        <v>6468550</v>
      </c>
      <c r="X8" s="91"/>
    </row>
    <row r="9" spans="1:24" ht="15.75" x14ac:dyDescent="0.25">
      <c r="A9" s="91"/>
      <c r="B9" s="91"/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5">
        <v>200050</v>
      </c>
      <c r="U9" s="96">
        <f>W8</f>
        <v>6468550</v>
      </c>
      <c r="V9" s="91"/>
      <c r="W9" s="91"/>
      <c r="X9" s="91"/>
    </row>
    <row r="10" spans="1:24" ht="15.75" x14ac:dyDescent="0.25">
      <c r="A10" s="91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5">
        <v>2051000</v>
      </c>
      <c r="M10" s="96">
        <f>IF(ABS(1-(P3+P11))&lt;=0.00001,P3*Q6+P11*Q14,NA())</f>
        <v>6316315.7000000002</v>
      </c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</row>
    <row r="11" spans="1:24" ht="15.75" x14ac:dyDescent="0.25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2">
        <v>0.3</v>
      </c>
      <c r="Q11" s="91"/>
      <c r="R11" s="91"/>
      <c r="S11" s="91"/>
      <c r="T11" s="91"/>
      <c r="U11" s="91"/>
      <c r="V11" s="91"/>
      <c r="W11" s="91"/>
      <c r="X11" s="91"/>
    </row>
    <row r="12" spans="1:24" ht="15.75" x14ac:dyDescent="0.25">
      <c r="A12" s="91"/>
      <c r="B12" s="91"/>
      <c r="C12" s="91"/>
      <c r="D12" s="91"/>
      <c r="E12" s="91"/>
      <c r="F12" s="91"/>
      <c r="G12" s="91"/>
      <c r="H12" s="92">
        <v>0.65</v>
      </c>
      <c r="I12" s="91"/>
      <c r="J12" s="91"/>
      <c r="K12" s="91"/>
      <c r="L12" s="91"/>
      <c r="M12" s="91"/>
      <c r="N12" s="91"/>
      <c r="O12" s="91"/>
      <c r="P12" s="101" t="s">
        <v>126</v>
      </c>
      <c r="Q12" s="91"/>
      <c r="R12" s="91"/>
      <c r="S12" s="91"/>
      <c r="T12" s="91"/>
      <c r="U12" s="91"/>
      <c r="V12" s="91"/>
      <c r="W12" s="91"/>
      <c r="X12" s="91"/>
    </row>
    <row r="13" spans="1:24" ht="15.75" x14ac:dyDescent="0.25">
      <c r="A13" s="91"/>
      <c r="B13" s="91"/>
      <c r="C13" s="91"/>
      <c r="D13" s="91"/>
      <c r="E13" s="91"/>
      <c r="F13" s="91"/>
      <c r="G13" s="91"/>
      <c r="H13" s="101" t="s">
        <v>127</v>
      </c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4">
        <f>SUM(D27,H15,L10,P14)</f>
        <v>6418550</v>
      </c>
      <c r="X13" s="91"/>
    </row>
    <row r="14" spans="1:24" ht="15.75" x14ac:dyDescent="0.25">
      <c r="A14" s="91"/>
      <c r="B14" s="91"/>
      <c r="C14" s="91"/>
      <c r="D14" s="91"/>
      <c r="E14" s="91"/>
      <c r="F14" s="91"/>
      <c r="G14" s="91"/>
      <c r="H14" s="91"/>
      <c r="I14" s="91"/>
      <c r="J14" s="91">
        <f>IF(I15=M10,1,IF(I15=M21,2))</f>
        <v>1</v>
      </c>
      <c r="K14" s="91"/>
      <c r="L14" s="91"/>
      <c r="M14" s="91"/>
      <c r="N14" s="91"/>
      <c r="O14" s="91"/>
      <c r="P14" s="95">
        <v>150050</v>
      </c>
      <c r="Q14" s="96">
        <f>W13</f>
        <v>6418550</v>
      </c>
      <c r="R14" s="91"/>
      <c r="S14" s="91"/>
      <c r="T14" s="91"/>
      <c r="U14" s="91"/>
      <c r="V14" s="91"/>
      <c r="W14" s="91"/>
      <c r="X14" s="91"/>
    </row>
    <row r="15" spans="1:24" ht="15.75" x14ac:dyDescent="0.25">
      <c r="A15" s="91"/>
      <c r="B15" s="91"/>
      <c r="C15" s="91"/>
      <c r="D15" s="91"/>
      <c r="E15" s="91"/>
      <c r="F15" s="91"/>
      <c r="G15" s="91"/>
      <c r="H15" s="95">
        <v>0</v>
      </c>
      <c r="I15" s="96">
        <f>MIN(M10,M21)</f>
        <v>6316315.7000000002</v>
      </c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</row>
    <row r="16" spans="1:24" ht="15.75" x14ac:dyDescent="0.25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2">
        <v>0.3</v>
      </c>
      <c r="Q16" s="91"/>
      <c r="R16" s="91"/>
      <c r="S16" s="91"/>
      <c r="T16" s="91"/>
      <c r="U16" s="91"/>
      <c r="V16" s="91"/>
      <c r="W16" s="91"/>
      <c r="X16" s="91"/>
    </row>
    <row r="17" spans="1:24" ht="15.75" x14ac:dyDescent="0.25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101" t="s">
        <v>122</v>
      </c>
      <c r="Q17" s="91"/>
      <c r="R17" s="91"/>
      <c r="S17" s="91"/>
      <c r="T17" s="91"/>
      <c r="U17" s="91"/>
      <c r="V17" s="91"/>
      <c r="W17" s="91"/>
      <c r="X17" s="91"/>
    </row>
    <row r="18" spans="1:24" ht="15.75" x14ac:dyDescent="0.25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4">
        <f>SUM(D27,H15,L21,P19)</f>
        <v>4217500</v>
      </c>
      <c r="X18" s="91"/>
    </row>
    <row r="19" spans="1:24" ht="15.75" x14ac:dyDescent="0.25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101" t="s">
        <v>128</v>
      </c>
      <c r="M19" s="91"/>
      <c r="N19" s="91"/>
      <c r="O19" s="91"/>
      <c r="P19" s="95">
        <v>0</v>
      </c>
      <c r="Q19" s="96">
        <f>W18</f>
        <v>4217500</v>
      </c>
      <c r="R19" s="91"/>
      <c r="S19" s="91"/>
      <c r="T19" s="91"/>
      <c r="U19" s="91"/>
      <c r="V19" s="91"/>
      <c r="W19" s="91"/>
      <c r="X19" s="91"/>
    </row>
    <row r="20" spans="1:24" ht="15.75" x14ac:dyDescent="0.25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</row>
    <row r="21" spans="1:24" ht="15.75" x14ac:dyDescent="0.25">
      <c r="A21" s="91"/>
      <c r="B21" s="91"/>
      <c r="C21" s="91"/>
      <c r="D21" s="91"/>
      <c r="E21" s="91"/>
      <c r="F21" s="91"/>
      <c r="G21" s="91"/>
      <c r="H21" s="91"/>
      <c r="I21" s="91"/>
      <c r="J21" s="91"/>
      <c r="K21" s="91"/>
      <c r="L21" s="95">
        <v>0</v>
      </c>
      <c r="M21" s="96">
        <f>IF(ABS(1-(P16+P21))&lt;=0.00001,P16*Q19+P21*Q24,NA())</f>
        <v>6667850</v>
      </c>
      <c r="N21" s="91"/>
      <c r="O21" s="91"/>
      <c r="P21" s="92">
        <v>0.7</v>
      </c>
      <c r="Q21" s="91"/>
      <c r="R21" s="91"/>
      <c r="S21" s="91"/>
      <c r="T21" s="91"/>
      <c r="U21" s="91"/>
      <c r="V21" s="91"/>
      <c r="W21" s="91"/>
      <c r="X21" s="91"/>
    </row>
    <row r="22" spans="1:24" ht="15.75" x14ac:dyDescent="0.2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101" t="s">
        <v>124</v>
      </c>
      <c r="Q22" s="91"/>
      <c r="R22" s="91"/>
      <c r="S22" s="91"/>
      <c r="T22" s="91"/>
      <c r="U22" s="91"/>
      <c r="V22" s="91"/>
      <c r="W22" s="91"/>
      <c r="X22" s="91"/>
    </row>
    <row r="23" spans="1:24" ht="15.75" x14ac:dyDescent="0.25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4">
        <f>SUM(D27,H15,L21,P24)</f>
        <v>7718000</v>
      </c>
      <c r="X23" s="91"/>
    </row>
    <row r="24" spans="1:24" ht="15.75" x14ac:dyDescent="0.25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5">
        <v>3500500</v>
      </c>
      <c r="Q24" s="96">
        <f>W23</f>
        <v>7718000</v>
      </c>
      <c r="R24" s="91"/>
      <c r="S24" s="91"/>
      <c r="T24" s="91"/>
      <c r="U24" s="91"/>
      <c r="V24" s="91"/>
      <c r="W24" s="91"/>
      <c r="X24" s="91"/>
    </row>
    <row r="25" spans="1:24" ht="15.75" x14ac:dyDescent="0.25">
      <c r="A25" s="91"/>
      <c r="B25" s="91"/>
      <c r="C25" s="91"/>
      <c r="D25" s="101" t="s">
        <v>129</v>
      </c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</row>
    <row r="26" spans="1:24" ht="15.75" x14ac:dyDescent="0.25">
      <c r="A26" s="91"/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2">
        <v>0.8</v>
      </c>
      <c r="U26" s="91"/>
      <c r="V26" s="91"/>
      <c r="W26" s="91"/>
      <c r="X26" s="91"/>
    </row>
    <row r="27" spans="1:24" ht="15.75" x14ac:dyDescent="0.25">
      <c r="A27" s="91"/>
      <c r="B27" s="91"/>
      <c r="C27" s="91"/>
      <c r="D27" s="95">
        <v>4217500</v>
      </c>
      <c r="E27" s="96">
        <f>IF(ABS(1-(H12+H37))&lt;=0.00001,H12*I15+H37*I40,NA())</f>
        <v>5594041.4550000001</v>
      </c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101" t="s">
        <v>122</v>
      </c>
      <c r="U27" s="91"/>
      <c r="V27" s="91"/>
      <c r="W27" s="91"/>
      <c r="X27" s="91"/>
    </row>
    <row r="28" spans="1:24" ht="15.75" x14ac:dyDescent="0.25">
      <c r="A28" s="91"/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2">
        <v>0.69</v>
      </c>
      <c r="Q28" s="91"/>
      <c r="R28" s="91"/>
      <c r="S28" s="91"/>
      <c r="T28" s="91"/>
      <c r="U28" s="91"/>
      <c r="V28" s="91"/>
      <c r="W28" s="94">
        <f>SUM(D27,H40,L35,P31,T29)</f>
        <v>6268500</v>
      </c>
      <c r="X28" s="91"/>
    </row>
    <row r="29" spans="1:24" ht="15.75" x14ac:dyDescent="0.25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101" t="s">
        <v>123</v>
      </c>
      <c r="Q29" s="91"/>
      <c r="R29" s="91"/>
      <c r="S29" s="91"/>
      <c r="T29" s="95">
        <v>0</v>
      </c>
      <c r="U29" s="96">
        <f>W28</f>
        <v>6268500</v>
      </c>
      <c r="V29" s="91"/>
      <c r="W29" s="91"/>
      <c r="X29" s="91"/>
    </row>
    <row r="30" spans="1:24" ht="15.75" x14ac:dyDescent="0.25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</row>
    <row r="31" spans="1:24" ht="15.75" x14ac:dyDescent="0.25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5">
        <v>0</v>
      </c>
      <c r="Q31" s="96">
        <f>IF(ABS(1-(T26+T31))&lt;=0.00001,T26*U29+T31*U34,NA())</f>
        <v>6278550</v>
      </c>
      <c r="R31" s="91"/>
      <c r="S31" s="91"/>
      <c r="T31" s="92">
        <v>0.2</v>
      </c>
      <c r="U31" s="91"/>
      <c r="V31" s="91"/>
      <c r="W31" s="91"/>
      <c r="X31" s="91"/>
    </row>
    <row r="32" spans="1:24" ht="15.75" x14ac:dyDescent="0.25">
      <c r="A32" s="91"/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101" t="s">
        <v>124</v>
      </c>
      <c r="U32" s="91"/>
      <c r="V32" s="91"/>
      <c r="W32" s="91"/>
      <c r="X32" s="91"/>
    </row>
    <row r="33" spans="1:24" ht="15.75" x14ac:dyDescent="0.25">
      <c r="A33" s="91"/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101" t="s">
        <v>125</v>
      </c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4">
        <f>SUM(D27,H40,L35,P31,T34)</f>
        <v>6318750</v>
      </c>
      <c r="X33" s="91"/>
    </row>
    <row r="34" spans="1:24" ht="15.75" x14ac:dyDescent="0.25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5">
        <v>50250</v>
      </c>
      <c r="U34" s="96">
        <f>W33</f>
        <v>6318750</v>
      </c>
      <c r="V34" s="91"/>
      <c r="W34" s="91"/>
      <c r="X34" s="91"/>
    </row>
    <row r="35" spans="1:24" ht="15.75" x14ac:dyDescent="0.25">
      <c r="A35" s="91"/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5">
        <v>2051000</v>
      </c>
      <c r="M35" s="96">
        <f>IF(ABS(1-(P28+P36))&lt;=0.00001,P28*Q31+P36*Q39,NA())</f>
        <v>6286338.75</v>
      </c>
      <c r="N35" s="91"/>
      <c r="O35" s="91"/>
      <c r="P35" s="91"/>
      <c r="Q35" s="91"/>
      <c r="R35" s="91"/>
      <c r="S35" s="91"/>
      <c r="T35" s="91"/>
      <c r="U35" s="91"/>
      <c r="V35" s="91"/>
      <c r="W35" s="91"/>
      <c r="X35" s="91"/>
    </row>
    <row r="36" spans="1:24" ht="15.75" x14ac:dyDescent="0.25">
      <c r="A36" s="91"/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2">
        <v>0.31</v>
      </c>
      <c r="Q36" s="91"/>
      <c r="R36" s="91"/>
      <c r="S36" s="91"/>
      <c r="T36" s="91"/>
      <c r="U36" s="91"/>
      <c r="V36" s="91"/>
      <c r="W36" s="91"/>
      <c r="X36" s="91"/>
    </row>
    <row r="37" spans="1:24" ht="15.75" x14ac:dyDescent="0.25">
      <c r="A37" s="91"/>
      <c r="B37" s="91"/>
      <c r="C37" s="91"/>
      <c r="D37" s="91"/>
      <c r="E37" s="91"/>
      <c r="F37" s="91"/>
      <c r="G37" s="91"/>
      <c r="H37" s="97">
        <v>0.35</v>
      </c>
      <c r="I37" s="91"/>
      <c r="J37" s="91"/>
      <c r="K37" s="91"/>
      <c r="L37" s="91"/>
      <c r="M37" s="91"/>
      <c r="N37" s="91"/>
      <c r="O37" s="91"/>
      <c r="P37" s="101" t="s">
        <v>161</v>
      </c>
      <c r="Q37" s="91"/>
      <c r="R37" s="91"/>
      <c r="S37" s="91"/>
      <c r="T37" s="91"/>
      <c r="U37" s="91"/>
      <c r="V37" s="91"/>
      <c r="W37" s="91"/>
      <c r="X37" s="91"/>
    </row>
    <row r="38" spans="1:24" ht="15.75" x14ac:dyDescent="0.25">
      <c r="A38" s="91"/>
      <c r="B38" s="91"/>
      <c r="C38" s="91"/>
      <c r="D38" s="91"/>
      <c r="E38" s="91"/>
      <c r="F38" s="91"/>
      <c r="G38" s="91"/>
      <c r="H38" s="101" t="s">
        <v>158</v>
      </c>
      <c r="I38" s="91"/>
      <c r="J38" s="91"/>
      <c r="K38" s="91"/>
      <c r="L38" s="91"/>
      <c r="M38" s="91"/>
      <c r="N38" s="91"/>
      <c r="O38" s="91"/>
      <c r="P38" s="91"/>
      <c r="Q38" s="91"/>
      <c r="R38" s="91"/>
      <c r="S38" s="91"/>
      <c r="T38" s="91"/>
      <c r="U38" s="91"/>
      <c r="V38" s="91"/>
      <c r="W38" s="94">
        <f>SUM(D27,H40,L35,P39)</f>
        <v>6303675</v>
      </c>
      <c r="X38" s="91"/>
    </row>
    <row r="39" spans="1:24" ht="15.75" x14ac:dyDescent="0.25">
      <c r="A39" s="91"/>
      <c r="B39" s="91"/>
      <c r="C39" s="91"/>
      <c r="D39" s="91"/>
      <c r="E39" s="91"/>
      <c r="F39" s="91"/>
      <c r="G39" s="91"/>
      <c r="H39" s="91"/>
      <c r="I39" s="91"/>
      <c r="J39" s="91">
        <f>IF(I40=M35,1,IF(I40=M46,2))</f>
        <v>2</v>
      </c>
      <c r="K39" s="91"/>
      <c r="L39" s="91"/>
      <c r="M39" s="91"/>
      <c r="N39" s="91"/>
      <c r="O39" s="91"/>
      <c r="P39" s="95">
        <v>35175</v>
      </c>
      <c r="Q39" s="96">
        <f>W38</f>
        <v>6303675</v>
      </c>
      <c r="R39" s="91"/>
      <c r="S39" s="91"/>
      <c r="T39" s="91"/>
      <c r="U39" s="91"/>
      <c r="V39" s="91"/>
      <c r="W39" s="91"/>
      <c r="X39" s="91"/>
    </row>
    <row r="40" spans="1:24" ht="15.75" x14ac:dyDescent="0.25">
      <c r="A40" s="91"/>
      <c r="B40" s="91"/>
      <c r="C40" s="91"/>
      <c r="D40" s="91"/>
      <c r="E40" s="91"/>
      <c r="F40" s="91"/>
      <c r="G40" s="91"/>
      <c r="H40" s="95">
        <v>0</v>
      </c>
      <c r="I40" s="96">
        <f>MIN(M35,M46)</f>
        <v>4252675</v>
      </c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</row>
    <row r="41" spans="1:24" ht="15.75" x14ac:dyDescent="0.25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2">
        <v>0.3</v>
      </c>
      <c r="Q41" s="91"/>
      <c r="R41" s="91"/>
      <c r="S41" s="91"/>
      <c r="T41" s="91"/>
      <c r="U41" s="91"/>
      <c r="V41" s="91"/>
      <c r="W41" s="91"/>
      <c r="X41" s="91"/>
    </row>
    <row r="42" spans="1:24" ht="15.75" x14ac:dyDescent="0.25">
      <c r="A42" s="91"/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101" t="s">
        <v>122</v>
      </c>
      <c r="Q42" s="91"/>
      <c r="R42" s="91"/>
      <c r="S42" s="91"/>
      <c r="T42" s="91"/>
      <c r="U42" s="91"/>
      <c r="V42" s="91"/>
      <c r="W42" s="91"/>
      <c r="X42" s="91"/>
    </row>
    <row r="43" spans="1:24" ht="15.75" x14ac:dyDescent="0.25">
      <c r="A43" s="91"/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4">
        <f>SUM(D27,H40,L46,P44)</f>
        <v>4217500</v>
      </c>
      <c r="X43" s="91"/>
    </row>
    <row r="44" spans="1:24" ht="15.75" x14ac:dyDescent="0.25">
      <c r="A44" s="91"/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101" t="s">
        <v>128</v>
      </c>
      <c r="M44" s="91"/>
      <c r="N44" s="91"/>
      <c r="O44" s="91"/>
      <c r="P44" s="95">
        <v>0</v>
      </c>
      <c r="Q44" s="96">
        <f>W43</f>
        <v>4217500</v>
      </c>
      <c r="R44" s="91"/>
      <c r="S44" s="91"/>
      <c r="T44" s="91"/>
      <c r="U44" s="91"/>
      <c r="V44" s="91"/>
      <c r="W44" s="91"/>
      <c r="X44" s="91"/>
    </row>
    <row r="45" spans="1:24" ht="15.75" x14ac:dyDescent="0.25">
      <c r="A45" s="91"/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X45" s="91"/>
    </row>
    <row r="46" spans="1:24" ht="15.75" x14ac:dyDescent="0.25">
      <c r="A46" s="91"/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5">
        <v>0</v>
      </c>
      <c r="M46" s="96">
        <f>IF(ABS(1-(P41+P46))&lt;=0.00001,P41*Q44+P46*Q49,NA())</f>
        <v>4252675</v>
      </c>
      <c r="N46" s="91"/>
      <c r="O46" s="91"/>
      <c r="P46" s="92">
        <v>0.7</v>
      </c>
      <c r="Q46" s="91"/>
      <c r="R46" s="91"/>
      <c r="S46" s="91"/>
      <c r="T46" s="91"/>
      <c r="U46" s="91"/>
      <c r="V46" s="91"/>
      <c r="W46" s="91"/>
      <c r="X46" s="91"/>
    </row>
    <row r="47" spans="1:24" ht="15.75" x14ac:dyDescent="0.25">
      <c r="A47" s="91"/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101" t="s">
        <v>124</v>
      </c>
      <c r="Q47" s="91"/>
      <c r="R47" s="91"/>
      <c r="S47" s="91"/>
      <c r="T47" s="91"/>
      <c r="U47" s="91"/>
      <c r="V47" s="91"/>
      <c r="W47" s="91"/>
      <c r="X47" s="91"/>
    </row>
    <row r="48" spans="1:24" ht="15.75" x14ac:dyDescent="0.25">
      <c r="A48" s="98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4">
        <f>SUM(D27,H40,L46,P49)</f>
        <v>4267750</v>
      </c>
      <c r="X48" s="91"/>
    </row>
    <row r="49" spans="1:24" ht="15.75" x14ac:dyDescent="0.25">
      <c r="A49" s="91"/>
      <c r="B49" s="91">
        <f>IF(A50=E27,1,IF(A50=E73,2))</f>
        <v>2</v>
      </c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5">
        <v>50250</v>
      </c>
      <c r="Q49" s="96">
        <f>W48</f>
        <v>4267750</v>
      </c>
      <c r="R49" s="91"/>
      <c r="S49" s="91"/>
      <c r="T49" s="91"/>
      <c r="U49" s="91"/>
      <c r="V49" s="91"/>
      <c r="W49" s="91"/>
      <c r="X49" s="91"/>
    </row>
    <row r="50" spans="1:24" ht="15.75" x14ac:dyDescent="0.25">
      <c r="A50" s="96">
        <f>MIN(E27,E73)</f>
        <v>5592030.9375</v>
      </c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</row>
    <row r="51" spans="1:24" ht="15.75" x14ac:dyDescent="0.25">
      <c r="A51" s="91"/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7">
        <v>0.95</v>
      </c>
      <c r="U51" s="91"/>
      <c r="V51" s="91"/>
      <c r="W51" s="91"/>
      <c r="X51" s="91"/>
    </row>
    <row r="52" spans="1:24" ht="15.75" x14ac:dyDescent="0.25">
      <c r="A52" s="91"/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101" t="s">
        <v>122</v>
      </c>
      <c r="U52" s="91"/>
      <c r="V52" s="91"/>
      <c r="W52" s="91"/>
      <c r="X52" s="91"/>
    </row>
    <row r="53" spans="1:24" ht="15.75" x14ac:dyDescent="0.25">
      <c r="A53" s="91"/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2">
        <v>0.65</v>
      </c>
      <c r="Q53" s="91"/>
      <c r="R53" s="91"/>
      <c r="S53" s="91"/>
      <c r="T53" s="91"/>
      <c r="U53" s="91"/>
      <c r="V53" s="91"/>
      <c r="W53" s="94">
        <f>SUM(D73,H65,L60,P56,T54)</f>
        <v>5960500</v>
      </c>
      <c r="X53" s="91"/>
    </row>
    <row r="54" spans="1:24" ht="15.75" x14ac:dyDescent="0.25">
      <c r="A54" s="91"/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101" t="s">
        <v>159</v>
      </c>
      <c r="Q54" s="91"/>
      <c r="R54" s="91"/>
      <c r="S54" s="91"/>
      <c r="T54" s="95">
        <v>0</v>
      </c>
      <c r="U54" s="96">
        <f>W53</f>
        <v>5960500</v>
      </c>
      <c r="V54" s="91"/>
      <c r="W54" s="91"/>
      <c r="X54" s="91"/>
    </row>
    <row r="55" spans="1:24" ht="15.75" x14ac:dyDescent="0.25">
      <c r="A55" s="91"/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</row>
    <row r="56" spans="1:24" ht="15.75" x14ac:dyDescent="0.25">
      <c r="A56" s="91"/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5">
        <v>0</v>
      </c>
      <c r="Q56" s="96">
        <f>IF(ABS(1-(T51+T56))&lt;=0.00001,T51*U54+T56*U59,NA())</f>
        <v>5963012.5</v>
      </c>
      <c r="R56" s="91"/>
      <c r="S56" s="91"/>
      <c r="T56" s="97">
        <v>0.05</v>
      </c>
      <c r="U56" s="91"/>
      <c r="V56" s="91"/>
      <c r="W56" s="91"/>
      <c r="X56" s="91"/>
    </row>
    <row r="57" spans="1:24" ht="15.75" x14ac:dyDescent="0.25">
      <c r="A57" s="91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101" t="s">
        <v>124</v>
      </c>
      <c r="U57" s="91"/>
      <c r="V57" s="91"/>
      <c r="W57" s="91"/>
      <c r="X57" s="91"/>
    </row>
    <row r="58" spans="1:24" ht="15.75" x14ac:dyDescent="0.25">
      <c r="A58" s="91"/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101" t="s">
        <v>130</v>
      </c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4">
        <f>SUM(D73,H65,L60,P56,T59)</f>
        <v>6010750</v>
      </c>
      <c r="X58" s="91"/>
    </row>
    <row r="59" spans="1:24" ht="15.75" x14ac:dyDescent="0.25">
      <c r="A59" s="91"/>
      <c r="B59" s="91"/>
      <c r="C59" s="91"/>
      <c r="D59" s="91"/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5">
        <v>50250</v>
      </c>
      <c r="U59" s="96">
        <f>W58</f>
        <v>6010750</v>
      </c>
      <c r="V59" s="91"/>
      <c r="W59" s="91"/>
      <c r="X59" s="91"/>
    </row>
    <row r="60" spans="1:24" ht="15.75" x14ac:dyDescent="0.25">
      <c r="A60" s="91"/>
      <c r="B60" s="91"/>
      <c r="C60" s="91"/>
      <c r="D60" s="91"/>
      <c r="E60" s="91"/>
      <c r="F60" s="91"/>
      <c r="G60" s="91"/>
      <c r="H60" s="91"/>
      <c r="I60" s="91"/>
      <c r="J60" s="91"/>
      <c r="K60" s="91"/>
      <c r="L60" s="95">
        <v>486500</v>
      </c>
      <c r="M60" s="96">
        <f>IF(ABS(1-(P53+P61))&lt;=0.00001,P53*Q56+P61*Q64,NA())</f>
        <v>5962133.125</v>
      </c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</row>
    <row r="61" spans="1:24" ht="15.75" x14ac:dyDescent="0.25">
      <c r="A61" s="91"/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2">
        <v>0.35</v>
      </c>
      <c r="Q61" s="91"/>
      <c r="R61" s="91"/>
      <c r="S61" s="91"/>
      <c r="T61" s="91"/>
      <c r="U61" s="91"/>
      <c r="V61" s="91"/>
      <c r="W61" s="91"/>
      <c r="X61" s="91"/>
    </row>
    <row r="62" spans="1:24" ht="15.75" x14ac:dyDescent="0.25">
      <c r="A62" s="91"/>
      <c r="B62" s="91"/>
      <c r="C62" s="91"/>
      <c r="D62" s="91"/>
      <c r="E62" s="91"/>
      <c r="F62" s="91"/>
      <c r="G62" s="91"/>
      <c r="H62" s="92">
        <v>0.62</v>
      </c>
      <c r="I62" s="91"/>
      <c r="J62" s="91"/>
      <c r="K62" s="91"/>
      <c r="L62" s="91"/>
      <c r="M62" s="91"/>
      <c r="N62" s="91"/>
      <c r="O62" s="91"/>
      <c r="P62" s="101" t="s">
        <v>160</v>
      </c>
      <c r="Q62" s="91"/>
      <c r="R62" s="91"/>
      <c r="S62" s="91"/>
      <c r="T62" s="91"/>
      <c r="U62" s="91"/>
      <c r="V62" s="91"/>
      <c r="W62" s="91"/>
      <c r="X62" s="91"/>
    </row>
    <row r="63" spans="1:24" ht="15.75" x14ac:dyDescent="0.25">
      <c r="A63" s="91"/>
      <c r="B63" s="91"/>
      <c r="C63" s="91"/>
      <c r="D63" s="91"/>
      <c r="E63" s="91"/>
      <c r="F63" s="91"/>
      <c r="G63" s="91"/>
      <c r="H63" s="101" t="s">
        <v>131</v>
      </c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4">
        <f>SUM(D73,H65,L60,P64)</f>
        <v>5960500</v>
      </c>
      <c r="X63" s="91"/>
    </row>
    <row r="64" spans="1:24" ht="15.75" x14ac:dyDescent="0.25">
      <c r="A64" s="91"/>
      <c r="B64" s="91"/>
      <c r="C64" s="91"/>
      <c r="D64" s="91"/>
      <c r="E64" s="91"/>
      <c r="F64" s="91"/>
      <c r="G64" s="91"/>
      <c r="H64" s="91"/>
      <c r="I64" s="91"/>
      <c r="J64" s="91">
        <f>IF(I65=M60,1,IF(I65=M71,2))</f>
        <v>1</v>
      </c>
      <c r="K64" s="91"/>
      <c r="L64" s="91"/>
      <c r="M64" s="91"/>
      <c r="N64" s="91"/>
      <c r="O64" s="91"/>
      <c r="P64" s="95">
        <v>0</v>
      </c>
      <c r="Q64" s="96">
        <f>W63</f>
        <v>5960500</v>
      </c>
      <c r="R64" s="91"/>
      <c r="S64" s="91"/>
      <c r="T64" s="91"/>
      <c r="U64" s="91"/>
      <c r="V64" s="91"/>
      <c r="W64" s="91"/>
      <c r="X64" s="91"/>
    </row>
    <row r="65" spans="1:24" ht="15.75" x14ac:dyDescent="0.25">
      <c r="A65" s="91"/>
      <c r="B65" s="91"/>
      <c r="C65" s="91"/>
      <c r="D65" s="91"/>
      <c r="E65" s="91"/>
      <c r="F65" s="91"/>
      <c r="G65" s="91"/>
      <c r="H65" s="95">
        <v>5474000</v>
      </c>
      <c r="I65" s="96">
        <f>MIN(M60,M71)</f>
        <v>5962133.125</v>
      </c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</row>
    <row r="66" spans="1:24" ht="15.75" x14ac:dyDescent="0.25">
      <c r="A66" s="91"/>
      <c r="B66" s="91"/>
      <c r="C66" s="91"/>
      <c r="D66" s="91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91"/>
      <c r="P66" s="92">
        <v>0.3</v>
      </c>
      <c r="Q66" s="91"/>
      <c r="R66" s="91"/>
      <c r="S66" s="91"/>
      <c r="T66" s="91"/>
      <c r="U66" s="91"/>
      <c r="V66" s="91"/>
      <c r="W66" s="91"/>
      <c r="X66" s="91"/>
    </row>
    <row r="67" spans="1:24" ht="15.75" x14ac:dyDescent="0.25">
      <c r="A67" s="91"/>
      <c r="B67" s="91"/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91"/>
      <c r="N67" s="91"/>
      <c r="O67" s="91"/>
      <c r="P67" s="101" t="s">
        <v>132</v>
      </c>
      <c r="Q67" s="91"/>
      <c r="R67" s="91"/>
      <c r="S67" s="91"/>
      <c r="T67" s="91"/>
      <c r="U67" s="91"/>
      <c r="V67" s="91"/>
      <c r="W67" s="91"/>
      <c r="X67" s="91"/>
    </row>
    <row r="68" spans="1:24" ht="15.75" x14ac:dyDescent="0.25">
      <c r="A68" s="91"/>
      <c r="B68" s="91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  <c r="W68" s="94">
        <f>SUM(D73,H65,L71,P69)</f>
        <v>6046250</v>
      </c>
      <c r="X68" s="91"/>
    </row>
    <row r="69" spans="1:24" ht="15.75" x14ac:dyDescent="0.25">
      <c r="A69" s="91"/>
      <c r="B69" s="91"/>
      <c r="C69" s="91"/>
      <c r="D69" s="91"/>
      <c r="E69" s="91"/>
      <c r="F69" s="91"/>
      <c r="G69" s="91"/>
      <c r="H69" s="91"/>
      <c r="I69" s="91"/>
      <c r="J69" s="91"/>
      <c r="K69" s="91"/>
      <c r="L69" s="101" t="s">
        <v>133</v>
      </c>
      <c r="M69" s="91"/>
      <c r="N69" s="91"/>
      <c r="O69" s="91"/>
      <c r="P69" s="95">
        <v>0</v>
      </c>
      <c r="Q69" s="96">
        <f>W68</f>
        <v>6046250</v>
      </c>
      <c r="R69" s="91"/>
      <c r="S69" s="91"/>
      <c r="T69" s="91"/>
      <c r="U69" s="91"/>
      <c r="V69" s="91"/>
      <c r="W69" s="91"/>
      <c r="X69" s="91"/>
    </row>
    <row r="70" spans="1:24" ht="15.75" x14ac:dyDescent="0.25">
      <c r="A70" s="91"/>
      <c r="B70" s="91"/>
      <c r="C70" s="91"/>
      <c r="D70" s="91"/>
      <c r="E70" s="91"/>
      <c r="F70" s="91"/>
      <c r="G70" s="91"/>
      <c r="H70" s="91"/>
      <c r="I70" s="91"/>
      <c r="J70" s="91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</row>
    <row r="71" spans="1:24" ht="15.75" x14ac:dyDescent="0.25">
      <c r="A71" s="91"/>
      <c r="B71" s="91"/>
      <c r="C71" s="91"/>
      <c r="D71" s="101" t="s">
        <v>134</v>
      </c>
      <c r="E71" s="91"/>
      <c r="F71" s="91"/>
      <c r="G71" s="91"/>
      <c r="H71" s="91"/>
      <c r="I71" s="91"/>
      <c r="J71" s="91"/>
      <c r="K71" s="91"/>
      <c r="L71" s="95">
        <v>572250</v>
      </c>
      <c r="M71" s="96">
        <f>IF(ABS(1-(P66+P71))&lt;=0.00001,P66*Q69+P71*Q74,NA())</f>
        <v>6110562.5</v>
      </c>
      <c r="N71" s="91"/>
      <c r="O71" s="91"/>
      <c r="P71" s="92">
        <v>0.7</v>
      </c>
      <c r="Q71" s="91"/>
      <c r="R71" s="91"/>
      <c r="S71" s="91"/>
      <c r="T71" s="91"/>
      <c r="U71" s="91"/>
      <c r="V71" s="91"/>
      <c r="W71" s="91"/>
      <c r="X71" s="91"/>
    </row>
    <row r="72" spans="1:24" ht="15.75" x14ac:dyDescent="0.25">
      <c r="A72" s="91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101" t="s">
        <v>135</v>
      </c>
      <c r="Q72" s="91"/>
      <c r="R72" s="91"/>
      <c r="S72" s="91"/>
      <c r="T72" s="91"/>
      <c r="U72" s="91"/>
      <c r="V72" s="91"/>
      <c r="W72" s="91"/>
      <c r="X72" s="91"/>
    </row>
    <row r="73" spans="1:24" ht="15.75" x14ac:dyDescent="0.25">
      <c r="A73" s="91"/>
      <c r="B73" s="91"/>
      <c r="C73" s="91"/>
      <c r="D73" s="95">
        <v>0</v>
      </c>
      <c r="E73" s="96">
        <f>IF(ABS(1-(H62+H78))&lt;=0.00001,H62*I65+H78*I81,NA())</f>
        <v>5592030.9375</v>
      </c>
      <c r="F73" s="91"/>
      <c r="G73" s="91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94">
        <f>SUM(D73,H65,L71,P74)</f>
        <v>6138125</v>
      </c>
      <c r="X73" s="91"/>
    </row>
    <row r="74" spans="1:24" ht="15.75" x14ac:dyDescent="0.25">
      <c r="A74" s="91"/>
      <c r="B74" s="91"/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91"/>
      <c r="N74" s="91"/>
      <c r="O74" s="91"/>
      <c r="P74" s="95">
        <v>91875</v>
      </c>
      <c r="Q74" s="96">
        <f>W73</f>
        <v>6138125</v>
      </c>
      <c r="R74" s="91"/>
      <c r="S74" s="91"/>
      <c r="T74" s="91"/>
      <c r="U74" s="91"/>
      <c r="V74" s="91"/>
      <c r="W74" s="91"/>
      <c r="X74" s="91"/>
    </row>
    <row r="75" spans="1:24" ht="15.75" x14ac:dyDescent="0.25">
      <c r="A75" s="91"/>
      <c r="B75" s="91"/>
      <c r="C75" s="91"/>
      <c r="D75" s="91"/>
      <c r="E75" s="91"/>
      <c r="F75" s="91"/>
      <c r="G75" s="91"/>
      <c r="H75" s="91"/>
      <c r="I75" s="91"/>
      <c r="J75" s="91"/>
      <c r="K75" s="91"/>
      <c r="L75" s="91"/>
      <c r="M75" s="91"/>
      <c r="N75" s="91"/>
      <c r="O75" s="91"/>
      <c r="P75" s="91"/>
      <c r="Q75" s="91"/>
      <c r="R75" s="91"/>
      <c r="S75" s="91"/>
      <c r="T75" s="91"/>
      <c r="U75" s="91"/>
      <c r="V75" s="91"/>
      <c r="W75" s="91"/>
      <c r="X75" s="91"/>
    </row>
    <row r="76" spans="1:24" ht="15.75" x14ac:dyDescent="0.25">
      <c r="A76" s="91"/>
      <c r="B76" s="91"/>
      <c r="C76" s="91"/>
      <c r="D76" s="91"/>
      <c r="E76" s="91"/>
      <c r="F76" s="91"/>
      <c r="G76" s="91"/>
      <c r="H76" s="91"/>
      <c r="I76" s="91"/>
      <c r="J76" s="91"/>
      <c r="K76" s="91"/>
      <c r="L76" s="92">
        <v>0.35</v>
      </c>
      <c r="M76" s="91"/>
      <c r="N76" s="91"/>
      <c r="O76" s="91"/>
      <c r="P76" s="91"/>
      <c r="Q76" s="91"/>
      <c r="R76" s="91"/>
      <c r="S76" s="91"/>
      <c r="T76" s="91"/>
      <c r="U76" s="91"/>
      <c r="V76" s="91"/>
      <c r="W76" s="91"/>
      <c r="X76" s="91"/>
    </row>
    <row r="77" spans="1:24" ht="15.75" x14ac:dyDescent="0.25">
      <c r="A77" s="91"/>
      <c r="B77" s="91"/>
      <c r="C77" s="91"/>
      <c r="D77" s="91"/>
      <c r="E77" s="91"/>
      <c r="F77" s="91"/>
      <c r="G77" s="91"/>
      <c r="H77" s="91"/>
      <c r="I77" s="91"/>
      <c r="J77" s="91"/>
      <c r="K77" s="91"/>
      <c r="L77" s="101" t="s">
        <v>157</v>
      </c>
      <c r="M77" s="91"/>
      <c r="N77" s="91"/>
      <c r="O77" s="91"/>
      <c r="P77" s="91"/>
      <c r="Q77" s="91"/>
      <c r="R77" s="91"/>
      <c r="S77" s="91"/>
      <c r="T77" s="91"/>
      <c r="U77" s="91"/>
      <c r="V77" s="91"/>
      <c r="W77" s="91"/>
      <c r="X77" s="91"/>
    </row>
    <row r="78" spans="1:24" ht="15.75" x14ac:dyDescent="0.25">
      <c r="A78" s="91"/>
      <c r="B78" s="91"/>
      <c r="C78" s="91"/>
      <c r="D78" s="91"/>
      <c r="E78" s="91"/>
      <c r="F78" s="91"/>
      <c r="G78" s="91"/>
      <c r="H78" s="92">
        <v>0.38</v>
      </c>
      <c r="I78" s="91"/>
      <c r="J78" s="91"/>
      <c r="K78" s="91"/>
      <c r="L78" s="91"/>
      <c r="M78" s="91"/>
      <c r="N78" s="91"/>
      <c r="O78" s="91"/>
      <c r="P78" s="91"/>
      <c r="Q78" s="91"/>
      <c r="R78" s="91"/>
      <c r="S78" s="91"/>
      <c r="T78" s="91"/>
      <c r="U78" s="91"/>
      <c r="V78" s="91"/>
      <c r="W78" s="94">
        <f>SUM(D73,H81,L79)</f>
        <v>4922855</v>
      </c>
      <c r="X78" s="91"/>
    </row>
    <row r="79" spans="1:24" ht="15.75" x14ac:dyDescent="0.25">
      <c r="A79" s="91"/>
      <c r="B79" s="91"/>
      <c r="C79" s="91"/>
      <c r="D79" s="91"/>
      <c r="E79" s="91"/>
      <c r="F79" s="91"/>
      <c r="G79" s="91"/>
      <c r="H79" s="101" t="s">
        <v>136</v>
      </c>
      <c r="I79" s="91"/>
      <c r="J79" s="91"/>
      <c r="K79" s="91"/>
      <c r="L79" s="95">
        <v>0</v>
      </c>
      <c r="M79" s="96">
        <f>W78</f>
        <v>4922855</v>
      </c>
      <c r="N79" s="91"/>
      <c r="O79" s="91"/>
      <c r="P79" s="91"/>
      <c r="Q79" s="91"/>
      <c r="R79" s="91"/>
      <c r="S79" s="91"/>
      <c r="T79" s="91"/>
      <c r="U79" s="91"/>
      <c r="V79" s="91"/>
      <c r="W79" s="91"/>
      <c r="X79" s="91"/>
    </row>
    <row r="80" spans="1:24" ht="15.75" x14ac:dyDescent="0.25">
      <c r="A80" s="91"/>
      <c r="B80" s="91"/>
      <c r="C80" s="91"/>
      <c r="D80" s="91"/>
      <c r="E80" s="91"/>
      <c r="F80" s="91"/>
      <c r="G80" s="91"/>
      <c r="H80" s="91"/>
      <c r="I80" s="91"/>
      <c r="J80" s="91"/>
      <c r="K80" s="91"/>
      <c r="L80" s="91"/>
      <c r="M80" s="91"/>
      <c r="N80" s="91"/>
      <c r="O80" s="91"/>
      <c r="P80" s="91"/>
      <c r="Q80" s="91"/>
      <c r="R80" s="91"/>
      <c r="S80" s="91"/>
      <c r="T80" s="91"/>
      <c r="U80" s="91"/>
      <c r="V80" s="91"/>
      <c r="W80" s="91"/>
      <c r="X80" s="91"/>
    </row>
    <row r="81" spans="1:24" ht="15.75" x14ac:dyDescent="0.25">
      <c r="A81" s="91"/>
      <c r="B81" s="91"/>
      <c r="C81" s="91"/>
      <c r="D81" s="91"/>
      <c r="E81" s="91"/>
      <c r="F81" s="91"/>
      <c r="G81" s="91"/>
      <c r="H81" s="95">
        <v>4922855</v>
      </c>
      <c r="I81" s="96">
        <f>IF(ABS(1-(L76+L81))&lt;=0.00001,L76*M79+L81*M84,NA())</f>
        <v>4988180</v>
      </c>
      <c r="J81" s="91"/>
      <c r="K81" s="91"/>
      <c r="L81" s="92">
        <v>0.65</v>
      </c>
      <c r="M81" s="91"/>
      <c r="N81" s="91"/>
      <c r="O81" s="91"/>
      <c r="P81" s="91"/>
      <c r="Q81" s="91"/>
      <c r="R81" s="91"/>
      <c r="S81" s="91"/>
      <c r="T81" s="91"/>
      <c r="U81" s="91"/>
      <c r="V81" s="91"/>
      <c r="W81" s="91"/>
      <c r="X81" s="91"/>
    </row>
    <row r="82" spans="1:24" ht="15.75" x14ac:dyDescent="0.25">
      <c r="A82" s="91"/>
      <c r="B82" s="91"/>
      <c r="C82" s="91"/>
      <c r="D82" s="91"/>
      <c r="E82" s="91"/>
      <c r="F82" s="91"/>
      <c r="G82" s="91"/>
      <c r="H82" s="91"/>
      <c r="I82" s="91"/>
      <c r="J82" s="91"/>
      <c r="K82" s="91"/>
      <c r="L82" s="101" t="s">
        <v>156</v>
      </c>
      <c r="M82" s="91"/>
      <c r="N82" s="91"/>
      <c r="O82" s="91"/>
      <c r="P82" s="91"/>
      <c r="Q82" s="91"/>
      <c r="R82" s="91"/>
      <c r="S82" s="91"/>
      <c r="T82" s="91"/>
      <c r="U82" s="91"/>
      <c r="V82" s="91"/>
      <c r="W82" s="91"/>
      <c r="X82" s="91"/>
    </row>
    <row r="83" spans="1:24" ht="15.75" x14ac:dyDescent="0.25">
      <c r="A83" s="91"/>
      <c r="B83" s="91"/>
      <c r="C83" s="91"/>
      <c r="D83" s="91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  <c r="T83" s="91"/>
      <c r="U83" s="91"/>
      <c r="V83" s="91"/>
      <c r="W83" s="94">
        <f>SUM(D73,H81,L84)</f>
        <v>5023355</v>
      </c>
      <c r="X83" s="91"/>
    </row>
    <row r="84" spans="1:24" ht="15.75" x14ac:dyDescent="0.25">
      <c r="A84" s="91"/>
      <c r="B84" s="91"/>
      <c r="C84" s="91"/>
      <c r="D84" s="91"/>
      <c r="E84" s="91"/>
      <c r="F84" s="91"/>
      <c r="G84" s="91"/>
      <c r="H84" s="91"/>
      <c r="I84" s="91"/>
      <c r="J84" s="91"/>
      <c r="K84" s="91"/>
      <c r="L84" s="95">
        <v>100500</v>
      </c>
      <c r="M84" s="96">
        <f>W83</f>
        <v>5023355</v>
      </c>
      <c r="N84" s="91"/>
      <c r="O84" s="91"/>
      <c r="P84" s="91"/>
      <c r="Q84" s="91"/>
      <c r="R84" s="91"/>
      <c r="S84" s="91"/>
      <c r="T84" s="91"/>
      <c r="U84" s="91"/>
      <c r="V84" s="91"/>
      <c r="W84" s="93"/>
      <c r="X84" s="91"/>
    </row>
    <row r="85" spans="1:24" ht="15.75" x14ac:dyDescent="0.25">
      <c r="A85" s="91"/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  <c r="N85" s="91"/>
      <c r="O85" s="91"/>
      <c r="P85" s="91"/>
      <c r="Q85" s="91"/>
      <c r="R85" s="91"/>
      <c r="S85" s="91"/>
      <c r="T85" s="91"/>
      <c r="U85" s="91"/>
      <c r="V85" s="91"/>
      <c r="W85" s="91"/>
      <c r="X85" s="91"/>
    </row>
    <row r="86" spans="1:24" ht="15.75" x14ac:dyDescent="0.25">
      <c r="A86" s="91"/>
      <c r="B86" s="91"/>
      <c r="C86" s="91"/>
      <c r="D86" s="91"/>
      <c r="E86" s="91"/>
      <c r="F86" s="91"/>
      <c r="G86" s="91"/>
      <c r="H86" s="91"/>
      <c r="I86" s="91"/>
      <c r="J86" s="91"/>
      <c r="K86" s="91"/>
      <c r="L86" s="91"/>
      <c r="M86" s="91"/>
      <c r="N86" s="91"/>
      <c r="O86" s="91"/>
      <c r="P86" s="91"/>
      <c r="Q86" s="91"/>
      <c r="R86" s="91"/>
      <c r="S86" s="91"/>
      <c r="T86" s="91"/>
      <c r="U86" s="91"/>
      <c r="V86" s="91"/>
      <c r="W86" s="91"/>
      <c r="X86" s="91"/>
    </row>
    <row r="87" spans="1:24" ht="15.75" x14ac:dyDescent="0.25">
      <c r="A87" s="91"/>
      <c r="B87" s="91"/>
      <c r="C87" s="91"/>
      <c r="D87" s="91"/>
      <c r="E87" s="91"/>
      <c r="F87" s="91"/>
      <c r="G87" s="91"/>
      <c r="H87" s="91"/>
      <c r="I87" s="91"/>
      <c r="J87" s="91"/>
      <c r="K87" s="91"/>
      <c r="L87" s="91"/>
      <c r="M87" s="91"/>
      <c r="N87" s="91"/>
      <c r="O87" s="91"/>
      <c r="P87" s="91"/>
      <c r="Q87" s="91"/>
      <c r="R87" s="91"/>
      <c r="S87" s="91"/>
      <c r="T87" s="91"/>
      <c r="U87" s="91"/>
      <c r="V87" s="91"/>
      <c r="W87" s="91"/>
      <c r="X87" s="91"/>
    </row>
    <row r="88" spans="1:24" ht="15.75" x14ac:dyDescent="0.25">
      <c r="A88" s="91"/>
      <c r="B88" s="91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91"/>
      <c r="X88" s="91"/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showGridLines="0" topLeftCell="A7" workbookViewId="0">
      <selection activeCell="H29" sqref="H29"/>
    </sheetView>
  </sheetViews>
  <sheetFormatPr baseColWidth="10" defaultRowHeight="12.75" x14ac:dyDescent="0.25"/>
  <cols>
    <col min="1" max="1" width="25.75" style="163" bestFit="1" customWidth="1"/>
    <col min="2" max="2" width="9.625" style="163" customWidth="1"/>
    <col min="3" max="3" width="10.125" style="163" customWidth="1"/>
    <col min="4" max="6" width="9.625" style="163" customWidth="1"/>
    <col min="7" max="16384" width="11" style="163"/>
  </cols>
  <sheetData>
    <row r="1" spans="1:6" x14ac:dyDescent="0.25">
      <c r="A1" s="163" t="s">
        <v>235</v>
      </c>
    </row>
    <row r="3" spans="1:6" x14ac:dyDescent="0.25">
      <c r="A3" s="171" t="s">
        <v>177</v>
      </c>
      <c r="B3" s="164"/>
    </row>
    <row r="4" spans="1:6" x14ac:dyDescent="0.25">
      <c r="A4" s="169" t="s">
        <v>178</v>
      </c>
      <c r="B4" s="172">
        <v>34500</v>
      </c>
    </row>
    <row r="5" spans="1:6" x14ac:dyDescent="0.25">
      <c r="A5" s="169" t="s">
        <v>238</v>
      </c>
      <c r="B5" s="172">
        <v>22500</v>
      </c>
    </row>
    <row r="6" spans="1:6" x14ac:dyDescent="0.25">
      <c r="A6" s="169" t="s">
        <v>102</v>
      </c>
      <c r="B6" s="172">
        <v>7500</v>
      </c>
    </row>
    <row r="7" spans="1:6" x14ac:dyDescent="0.25">
      <c r="A7" s="170" t="s">
        <v>236</v>
      </c>
      <c r="B7" s="173">
        <v>15000</v>
      </c>
    </row>
    <row r="8" spans="1:6" x14ac:dyDescent="0.25">
      <c r="A8" s="169" t="s">
        <v>179</v>
      </c>
      <c r="B8" s="174">
        <v>0.1</v>
      </c>
    </row>
    <row r="9" spans="1:6" x14ac:dyDescent="0.25">
      <c r="A9" s="170"/>
      <c r="B9" s="172"/>
    </row>
    <row r="10" spans="1:6" x14ac:dyDescent="0.25">
      <c r="A10" s="170" t="s">
        <v>239</v>
      </c>
      <c r="B10" s="175">
        <v>3</v>
      </c>
    </row>
    <row r="11" spans="1:6" x14ac:dyDescent="0.25">
      <c r="A11" s="165"/>
      <c r="B11" s="172"/>
    </row>
    <row r="12" spans="1:6" x14ac:dyDescent="0.25">
      <c r="A12" s="168" t="s">
        <v>237</v>
      </c>
      <c r="B12" s="176">
        <v>95</v>
      </c>
    </row>
    <row r="13" spans="1:6" x14ac:dyDescent="0.25">
      <c r="A13" s="167"/>
      <c r="B13" s="166"/>
    </row>
    <row r="14" spans="1:6" ht="23.25" customHeight="1" x14ac:dyDescent="0.25">
      <c r="A14" s="471" t="s">
        <v>240</v>
      </c>
      <c r="B14" s="471"/>
      <c r="C14" s="471"/>
      <c r="D14" s="471"/>
      <c r="E14" s="471"/>
      <c r="F14" s="471"/>
    </row>
    <row r="15" spans="1:6" ht="21" customHeight="1" x14ac:dyDescent="0.2">
      <c r="A15" s="177"/>
      <c r="B15" s="242" t="s">
        <v>175</v>
      </c>
      <c r="C15" s="242" t="s">
        <v>174</v>
      </c>
      <c r="D15" s="242" t="s">
        <v>167</v>
      </c>
      <c r="E15" s="242" t="s">
        <v>168</v>
      </c>
      <c r="F15" s="242" t="s">
        <v>169</v>
      </c>
    </row>
    <row r="16" spans="1:6" x14ac:dyDescent="0.2">
      <c r="A16" s="243" t="s">
        <v>170</v>
      </c>
      <c r="B16" s="178">
        <f>+B4</f>
        <v>34500</v>
      </c>
      <c r="C16" s="178">
        <f>IF(B20&lt;0,0,B20)</f>
        <v>8250</v>
      </c>
      <c r="D16" s="178">
        <f>IF(C20&lt;0,0,C20)</f>
        <v>0</v>
      </c>
      <c r="E16" s="178">
        <f>IF(D20&lt;0,0,D20)</f>
        <v>0</v>
      </c>
      <c r="F16" s="178">
        <f>IF(E20&lt;0,0,E20)</f>
        <v>0</v>
      </c>
    </row>
    <row r="17" spans="1:7" x14ac:dyDescent="0.2">
      <c r="A17" s="244" t="s">
        <v>103</v>
      </c>
      <c r="B17" s="178">
        <f>+B6*0.5</f>
        <v>3750</v>
      </c>
      <c r="C17" s="178">
        <f>+B6</f>
        <v>7500</v>
      </c>
      <c r="D17" s="178">
        <f>+C17</f>
        <v>7500</v>
      </c>
      <c r="E17" s="178">
        <f t="shared" ref="E17:F17" si="0">+D17</f>
        <v>7500</v>
      </c>
      <c r="F17" s="178">
        <f t="shared" si="0"/>
        <v>7500</v>
      </c>
    </row>
    <row r="18" spans="1:7" x14ac:dyDescent="0.2">
      <c r="A18" s="244" t="s">
        <v>249</v>
      </c>
      <c r="B18" s="178">
        <f>+B7*0.5</f>
        <v>7500</v>
      </c>
      <c r="C18" s="178">
        <f>+B7*(100%+B8)</f>
        <v>16500</v>
      </c>
      <c r="D18" s="178">
        <f>+C18*(100%+$B$8)</f>
        <v>18150</v>
      </c>
      <c r="E18" s="178">
        <f t="shared" ref="E18:F18" si="1">+D18*(100%+$B$8)</f>
        <v>19965</v>
      </c>
      <c r="F18" s="178">
        <f t="shared" si="1"/>
        <v>21961.5</v>
      </c>
    </row>
    <row r="19" spans="1:7" x14ac:dyDescent="0.2">
      <c r="A19" s="244" t="s">
        <v>176</v>
      </c>
      <c r="B19" s="178">
        <f>+B5</f>
        <v>22500</v>
      </c>
      <c r="C19" s="178"/>
      <c r="D19" s="178"/>
      <c r="E19" s="178"/>
      <c r="F19" s="178"/>
    </row>
    <row r="20" spans="1:7" x14ac:dyDescent="0.2">
      <c r="A20" s="245" t="s">
        <v>172</v>
      </c>
      <c r="B20" s="179">
        <f>+B16+B17-B18-B19</f>
        <v>8250</v>
      </c>
      <c r="C20" s="180">
        <f>+C16+C17-C18</f>
        <v>-750</v>
      </c>
      <c r="D20" s="180">
        <f>+D16+D17-D18</f>
        <v>-10650</v>
      </c>
      <c r="E20" s="180">
        <f>+E16+E17-E18</f>
        <v>-12465</v>
      </c>
      <c r="F20" s="180">
        <f>+F16+F17-F18</f>
        <v>-14461.5</v>
      </c>
      <c r="G20" s="241">
        <f>+SUM(C20:F20)</f>
        <v>-38326.5</v>
      </c>
    </row>
    <row r="22" spans="1:7" x14ac:dyDescent="0.25">
      <c r="C22" s="472" t="s">
        <v>232</v>
      </c>
      <c r="D22" s="472"/>
      <c r="E22" s="472"/>
      <c r="F22" s="472"/>
      <c r="G22" s="240" t="s">
        <v>3</v>
      </c>
    </row>
    <row r="25" spans="1:7" ht="24.75" customHeight="1" x14ac:dyDescent="0.25">
      <c r="A25" s="471" t="s">
        <v>240</v>
      </c>
      <c r="B25" s="471"/>
      <c r="C25" s="471"/>
      <c r="D25" s="471"/>
      <c r="E25" s="471"/>
      <c r="F25" s="471"/>
    </row>
    <row r="26" spans="1:7" ht="21" customHeight="1" x14ac:dyDescent="0.2">
      <c r="A26" s="177"/>
      <c r="B26" s="242" t="s">
        <v>175</v>
      </c>
      <c r="C26" s="242" t="s">
        <v>174</v>
      </c>
      <c r="D26" s="242" t="s">
        <v>167</v>
      </c>
      <c r="E26" s="242" t="s">
        <v>168</v>
      </c>
      <c r="F26" s="242" t="s">
        <v>169</v>
      </c>
    </row>
    <row r="27" spans="1:7" x14ac:dyDescent="0.2">
      <c r="A27" s="243" t="s">
        <v>170</v>
      </c>
      <c r="B27" s="178">
        <v>34500</v>
      </c>
      <c r="C27" s="178" t="s">
        <v>66</v>
      </c>
      <c r="D27" s="178" t="s">
        <v>66</v>
      </c>
      <c r="E27" s="178" t="s">
        <v>66</v>
      </c>
      <c r="F27" s="178" t="s">
        <v>66</v>
      </c>
    </row>
    <row r="28" spans="1:7" x14ac:dyDescent="0.2">
      <c r="A28" s="244" t="s">
        <v>103</v>
      </c>
      <c r="B28" s="178">
        <v>3750</v>
      </c>
      <c r="C28" s="178">
        <v>7500</v>
      </c>
      <c r="D28" s="178">
        <v>7500</v>
      </c>
      <c r="E28" s="178">
        <v>7500</v>
      </c>
      <c r="F28" s="178">
        <v>7500</v>
      </c>
    </row>
    <row r="29" spans="1:7" x14ac:dyDescent="0.2">
      <c r="A29" s="245" t="s">
        <v>249</v>
      </c>
      <c r="B29" s="179">
        <v>7500</v>
      </c>
      <c r="C29" s="179">
        <v>16500</v>
      </c>
      <c r="D29" s="179">
        <v>18150</v>
      </c>
      <c r="E29" s="179">
        <v>19965</v>
      </c>
      <c r="F29" s="179">
        <v>21961.5</v>
      </c>
    </row>
  </sheetData>
  <mergeCells count="3">
    <mergeCell ref="A14:F14"/>
    <mergeCell ref="C22:F22"/>
    <mergeCell ref="A25:F2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showGridLines="0" workbookViewId="0">
      <selection activeCell="I22" sqref="I22"/>
    </sheetView>
  </sheetViews>
  <sheetFormatPr baseColWidth="10" defaultRowHeight="15" x14ac:dyDescent="0.25"/>
  <cols>
    <col min="1" max="1" width="8.5" style="155" customWidth="1"/>
    <col min="2" max="2" width="13.25" style="155" customWidth="1"/>
    <col min="3" max="3" width="11" style="155" customWidth="1"/>
    <col min="4" max="4" width="11" style="155"/>
    <col min="5" max="5" width="9.125" style="155" customWidth="1"/>
    <col min="6" max="6" width="11" style="155"/>
    <col min="7" max="7" width="12" style="155" customWidth="1"/>
    <col min="8" max="8" width="6.25" style="155" customWidth="1"/>
    <col min="9" max="14" width="11" style="155"/>
    <col min="15" max="16" width="11.25" style="155" bestFit="1" customWidth="1"/>
    <col min="17" max="16384" width="11" style="155"/>
  </cols>
  <sheetData>
    <row r="1" spans="1:16" x14ac:dyDescent="0.25">
      <c r="A1" s="163" t="s">
        <v>235</v>
      </c>
    </row>
    <row r="2" spans="1:16" x14ac:dyDescent="0.25">
      <c r="A2" s="163"/>
    </row>
    <row r="3" spans="1:16" ht="15.75" thickBot="1" x14ac:dyDescent="0.3">
      <c r="A3" s="475" t="s">
        <v>243</v>
      </c>
      <c r="B3" s="475"/>
      <c r="C3" s="475"/>
    </row>
    <row r="4" spans="1:16" ht="15.75" thickTop="1" x14ac:dyDescent="0.25">
      <c r="A4" s="187"/>
      <c r="B4" s="187"/>
      <c r="C4" s="187"/>
    </row>
    <row r="5" spans="1:16" x14ac:dyDescent="0.25">
      <c r="A5" s="182" t="s">
        <v>177</v>
      </c>
      <c r="B5" s="164"/>
      <c r="C5" s="187"/>
    </row>
    <row r="6" spans="1:16" x14ac:dyDescent="0.25">
      <c r="A6" s="183" t="s">
        <v>239</v>
      </c>
      <c r="C6" s="175">
        <f>+Análisis!B10</f>
        <v>3</v>
      </c>
    </row>
    <row r="7" spans="1:16" x14ac:dyDescent="0.25">
      <c r="A7" s="187"/>
      <c r="B7" s="187"/>
      <c r="C7" s="187"/>
    </row>
    <row r="8" spans="1:16" x14ac:dyDescent="0.25">
      <c r="J8" s="235">
        <v>0.65</v>
      </c>
      <c r="L8" s="235"/>
    </row>
    <row r="9" spans="1:16" ht="38.25" x14ac:dyDescent="0.25">
      <c r="A9" s="206" t="s">
        <v>97</v>
      </c>
      <c r="B9" s="207" t="s">
        <v>55</v>
      </c>
      <c r="C9" s="207" t="s">
        <v>9</v>
      </c>
      <c r="D9" s="206" t="s">
        <v>22</v>
      </c>
      <c r="E9" s="206" t="s">
        <v>336</v>
      </c>
      <c r="F9" s="206" t="s">
        <v>181</v>
      </c>
      <c r="G9" s="206" t="s">
        <v>182</v>
      </c>
      <c r="H9" s="208"/>
      <c r="I9" s="206" t="s">
        <v>106</v>
      </c>
      <c r="J9" s="206" t="s">
        <v>108</v>
      </c>
      <c r="K9" s="206" t="s">
        <v>246</v>
      </c>
      <c r="L9" s="206" t="s">
        <v>247</v>
      </c>
      <c r="M9" s="206" t="s">
        <v>248</v>
      </c>
    </row>
    <row r="10" spans="1:16" ht="19.5" customHeight="1" x14ac:dyDescent="0.25">
      <c r="A10" s="209" t="s">
        <v>18</v>
      </c>
      <c r="B10" s="209" t="s">
        <v>250</v>
      </c>
      <c r="C10" s="210">
        <v>1</v>
      </c>
      <c r="D10" s="211">
        <v>35000</v>
      </c>
      <c r="E10" s="212">
        <v>8.8000000000000007</v>
      </c>
      <c r="F10" s="213">
        <v>5.5</v>
      </c>
      <c r="G10" s="213">
        <v>10.5</v>
      </c>
      <c r="H10" s="214"/>
      <c r="I10" s="215">
        <f>+D10*E10*$C$6+F10*D10+G10*D10</f>
        <v>1484000</v>
      </c>
      <c r="J10" s="215">
        <f>+I10/D10</f>
        <v>42.4</v>
      </c>
      <c r="K10" s="215">
        <v>68</v>
      </c>
      <c r="L10" s="215">
        <f>+K10-J10</f>
        <v>25.6</v>
      </c>
      <c r="M10" s="215">
        <f>+K10*D10</f>
        <v>2380000</v>
      </c>
      <c r="O10" s="247"/>
      <c r="P10" s="247"/>
    </row>
    <row r="11" spans="1:16" ht="19.5" customHeight="1" x14ac:dyDescent="0.25">
      <c r="A11" s="473" t="s">
        <v>10</v>
      </c>
      <c r="B11" s="209" t="s">
        <v>99</v>
      </c>
      <c r="C11" s="210">
        <f>+'Apendice 3'!K62</f>
        <v>0.7</v>
      </c>
      <c r="D11" s="216">
        <v>35000</v>
      </c>
      <c r="E11" s="212">
        <v>10.75</v>
      </c>
      <c r="F11" s="213">
        <v>6</v>
      </c>
      <c r="G11" s="213">
        <v>11</v>
      </c>
      <c r="H11" s="208"/>
      <c r="I11" s="238">
        <f>+D11*E11*$C$6+F11*D11+G11*D11</f>
        <v>1723750</v>
      </c>
      <c r="J11" s="238">
        <f>+I11/D11</f>
        <v>49.25</v>
      </c>
      <c r="K11" s="238">
        <f>+K10</f>
        <v>68</v>
      </c>
      <c r="L11" s="238">
        <f>+K11-J11</f>
        <v>18.75</v>
      </c>
      <c r="M11" s="238">
        <f>+K11*D11</f>
        <v>2380000</v>
      </c>
      <c r="O11" s="247"/>
    </row>
    <row r="12" spans="1:16" ht="19.5" customHeight="1" x14ac:dyDescent="0.25">
      <c r="A12" s="474"/>
      <c r="B12" s="217" t="s">
        <v>284</v>
      </c>
      <c r="C12" s="218">
        <f>+'Apendice 3'!K78</f>
        <v>0.3</v>
      </c>
      <c r="D12" s="219">
        <v>35000</v>
      </c>
      <c r="E12" s="220">
        <v>10.5</v>
      </c>
      <c r="F12" s="221">
        <v>5</v>
      </c>
      <c r="G12" s="221">
        <v>10</v>
      </c>
      <c r="H12" s="208"/>
      <c r="I12" s="236">
        <f>+D12*E12*$C$6+F12*D12+G12*D12</f>
        <v>1627500</v>
      </c>
      <c r="J12" s="236">
        <f>+I12/D12</f>
        <v>46.5</v>
      </c>
      <c r="K12" s="237">
        <f>+K11</f>
        <v>68</v>
      </c>
      <c r="L12" s="237">
        <f>+K12-J12</f>
        <v>21.5</v>
      </c>
      <c r="M12" s="237">
        <f>+K12*D12</f>
        <v>2380000</v>
      </c>
      <c r="O12" s="247"/>
    </row>
    <row r="13" spans="1:16" ht="8.25" customHeight="1" x14ac:dyDescent="0.25"/>
    <row r="14" spans="1:16" x14ac:dyDescent="0.25">
      <c r="A14" s="327" t="s">
        <v>338</v>
      </c>
      <c r="E14" s="291"/>
    </row>
  </sheetData>
  <mergeCells count="2">
    <mergeCell ref="A11:A12"/>
    <mergeCell ref="A3:C3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2"/>
  <sheetViews>
    <sheetView showGridLines="0" topLeftCell="S8" workbookViewId="0">
      <selection activeCell="AA11" sqref="AA11"/>
    </sheetView>
  </sheetViews>
  <sheetFormatPr baseColWidth="10" defaultRowHeight="12.75" x14ac:dyDescent="0.2"/>
  <cols>
    <col min="1" max="1" width="13.25" style="205" customWidth="1"/>
    <col min="2" max="2" width="6.5" style="205" customWidth="1"/>
    <col min="3" max="3" width="13" style="205" customWidth="1"/>
    <col min="4" max="4" width="11" style="205"/>
    <col min="5" max="5" width="2.75" style="205" customWidth="1"/>
    <col min="6" max="6" width="13.25" style="205" customWidth="1"/>
    <col min="7" max="7" width="11" style="205"/>
    <col min="8" max="8" width="8.875" style="205" customWidth="1"/>
    <col min="9" max="9" width="9.625" style="205" customWidth="1"/>
    <col min="10" max="10" width="9.125" style="205" customWidth="1"/>
    <col min="11" max="11" width="8.5" style="205" customWidth="1"/>
    <col min="12" max="12" width="7.625" style="205" customWidth="1"/>
    <col min="13" max="13" width="14.375" style="205" customWidth="1"/>
    <col min="14" max="14" width="5.375" style="205" customWidth="1"/>
    <col min="15" max="15" width="7.25" style="205" customWidth="1"/>
    <col min="16" max="16" width="11.5" style="205" bestFit="1" customWidth="1"/>
    <col min="17" max="18" width="11" style="205"/>
    <col min="19" max="19" width="12.5" style="205" customWidth="1"/>
    <col min="20" max="20" width="11" style="205"/>
    <col min="21" max="21" width="12" style="205" customWidth="1"/>
    <col min="22" max="22" width="11.5" style="205" customWidth="1"/>
    <col min="23" max="23" width="22.75" style="205" customWidth="1"/>
    <col min="24" max="25" width="11.75" style="205" customWidth="1"/>
    <col min="26" max="26" width="4" style="205" customWidth="1"/>
    <col min="27" max="27" width="8.75" style="205" customWidth="1"/>
    <col min="28" max="28" width="9.25" style="205" customWidth="1"/>
    <col min="29" max="29" width="22.25" style="205" customWidth="1"/>
    <col min="30" max="16384" width="11" style="205"/>
  </cols>
  <sheetData>
    <row r="1" spans="1:30" x14ac:dyDescent="0.2">
      <c r="A1" s="163" t="s">
        <v>235</v>
      </c>
      <c r="B1" s="163"/>
    </row>
    <row r="2" spans="1:30" x14ac:dyDescent="0.2">
      <c r="A2" s="163"/>
      <c r="B2" s="163"/>
    </row>
    <row r="3" spans="1:30" ht="13.5" thickBot="1" x14ac:dyDescent="0.25">
      <c r="A3" s="184" t="s">
        <v>252</v>
      </c>
      <c r="B3" s="163"/>
    </row>
    <row r="4" spans="1:30" ht="13.5" thickTop="1" x14ac:dyDescent="0.2">
      <c r="A4" s="163"/>
      <c r="B4" s="163"/>
    </row>
    <row r="5" spans="1:30" x14ac:dyDescent="0.2">
      <c r="A5" s="182" t="s">
        <v>177</v>
      </c>
      <c r="B5" s="164"/>
    </row>
    <row r="6" spans="1:30" x14ac:dyDescent="0.2">
      <c r="A6" s="181" t="s">
        <v>210</v>
      </c>
      <c r="B6" s="177">
        <v>35000</v>
      </c>
    </row>
    <row r="7" spans="1:30" x14ac:dyDescent="0.2">
      <c r="A7" s="181" t="s">
        <v>237</v>
      </c>
      <c r="B7" s="176">
        <v>17</v>
      </c>
    </row>
    <row r="8" spans="1:30" x14ac:dyDescent="0.2">
      <c r="A8" s="181" t="s">
        <v>286</v>
      </c>
      <c r="B8" s="176">
        <f>+'Costo Importar'!K10</f>
        <v>68</v>
      </c>
    </row>
    <row r="9" spans="1:30" x14ac:dyDescent="0.2">
      <c r="A9" s="181"/>
      <c r="B9" s="176"/>
    </row>
    <row r="10" spans="1:30" ht="21.75" customHeight="1" x14ac:dyDescent="0.2">
      <c r="B10" s="176"/>
      <c r="C10" s="503" t="s">
        <v>260</v>
      </c>
      <c r="D10" s="503" t="s">
        <v>261</v>
      </c>
      <c r="E10" s="177"/>
      <c r="F10" s="503" t="s">
        <v>253</v>
      </c>
      <c r="H10" s="304"/>
      <c r="I10" s="495"/>
      <c r="J10" s="495"/>
      <c r="K10" s="304"/>
    </row>
    <row r="11" spans="1:30" ht="27.75" customHeight="1" x14ac:dyDescent="0.2">
      <c r="A11" s="177"/>
      <c r="B11" s="177"/>
      <c r="C11" s="504"/>
      <c r="D11" s="503"/>
      <c r="E11" s="177"/>
      <c r="F11" s="504"/>
      <c r="H11" s="283" t="s">
        <v>367</v>
      </c>
      <c r="I11" s="498" t="s">
        <v>256</v>
      </c>
      <c r="J11" s="499"/>
      <c r="K11" s="283" t="s">
        <v>368</v>
      </c>
      <c r="L11" s="282" t="s">
        <v>100</v>
      </c>
      <c r="M11" s="480" t="s">
        <v>369</v>
      </c>
      <c r="N11" s="481"/>
      <c r="O11" s="260" t="s">
        <v>100</v>
      </c>
      <c r="P11" s="284" t="s">
        <v>162</v>
      </c>
      <c r="Q11" s="284" t="s">
        <v>259</v>
      </c>
      <c r="S11" s="316" t="s">
        <v>322</v>
      </c>
      <c r="T11" s="316" t="s">
        <v>256</v>
      </c>
      <c r="U11" s="316" t="s">
        <v>323</v>
      </c>
      <c r="V11" s="316" t="s">
        <v>9</v>
      </c>
      <c r="W11" s="316" t="s">
        <v>324</v>
      </c>
      <c r="X11" s="316" t="s">
        <v>9</v>
      </c>
      <c r="Y11" s="321"/>
      <c r="AA11" s="316" t="s">
        <v>6</v>
      </c>
      <c r="AB11" s="316" t="s">
        <v>331</v>
      </c>
      <c r="AC11" s="316" t="s">
        <v>330</v>
      </c>
      <c r="AD11" s="316" t="s">
        <v>9</v>
      </c>
    </row>
    <row r="12" spans="1:30" ht="27" customHeight="1" x14ac:dyDescent="0.2">
      <c r="A12" s="505" t="s">
        <v>94</v>
      </c>
      <c r="B12" s="505"/>
      <c r="C12" s="196">
        <v>450</v>
      </c>
      <c r="D12" s="197">
        <v>1.5</v>
      </c>
      <c r="E12" s="177"/>
      <c r="F12" s="202">
        <f>+C12*B6/1000+D12*B6</f>
        <v>68250</v>
      </c>
      <c r="H12" s="488" t="s">
        <v>289</v>
      </c>
      <c r="I12" s="488" t="s">
        <v>257</v>
      </c>
      <c r="J12" s="491">
        <f>+F18</f>
        <v>200725</v>
      </c>
      <c r="K12" s="482" t="s">
        <v>263</v>
      </c>
      <c r="L12" s="484">
        <f>+B6</f>
        <v>35000</v>
      </c>
      <c r="M12" s="248" t="s">
        <v>122</v>
      </c>
      <c r="N12" s="254">
        <v>1</v>
      </c>
      <c r="O12" s="273">
        <f>+L12</f>
        <v>35000</v>
      </c>
      <c r="P12" s="257" t="s">
        <v>66</v>
      </c>
      <c r="Q12" s="255">
        <f>+O12*'Costo Importar'!K10</f>
        <v>2380000</v>
      </c>
      <c r="S12" s="506" t="s">
        <v>289</v>
      </c>
      <c r="T12" s="506" t="s">
        <v>257</v>
      </c>
      <c r="U12" s="506" t="s">
        <v>263</v>
      </c>
      <c r="V12" s="507">
        <v>0.9</v>
      </c>
      <c r="W12" s="317" t="s">
        <v>320</v>
      </c>
      <c r="X12" s="318">
        <v>0.9</v>
      </c>
      <c r="Y12" s="322"/>
      <c r="AA12" s="476" t="s">
        <v>329</v>
      </c>
      <c r="AB12" s="476" t="s">
        <v>328</v>
      </c>
      <c r="AC12" s="324" t="s">
        <v>320</v>
      </c>
      <c r="AD12" s="318">
        <v>0.9</v>
      </c>
    </row>
    <row r="13" spans="1:30" ht="27" customHeight="1" x14ac:dyDescent="0.2">
      <c r="A13" s="505" t="s">
        <v>48</v>
      </c>
      <c r="B13" s="505"/>
      <c r="C13" s="198">
        <v>850</v>
      </c>
      <c r="D13" s="199" t="s">
        <v>66</v>
      </c>
      <c r="E13" s="177"/>
      <c r="F13" s="203">
        <f>+C13*$B$6/1000</f>
        <v>29750</v>
      </c>
      <c r="H13" s="489"/>
      <c r="I13" s="489"/>
      <c r="J13" s="492"/>
      <c r="K13" s="496"/>
      <c r="L13" s="497"/>
      <c r="M13" s="305" t="s">
        <v>124</v>
      </c>
      <c r="N13" s="306">
        <v>0.05</v>
      </c>
      <c r="O13" s="308">
        <f>+N13*L12</f>
        <v>1750</v>
      </c>
      <c r="P13" s="258">
        <f>+O13*B7</f>
        <v>29750</v>
      </c>
      <c r="Q13" s="307">
        <f>+(O12-O13)*'Costo Importar'!K10</f>
        <v>2261000</v>
      </c>
      <c r="S13" s="506"/>
      <c r="T13" s="506"/>
      <c r="U13" s="506"/>
      <c r="V13" s="507"/>
      <c r="W13" s="317" t="s">
        <v>321</v>
      </c>
      <c r="X13" s="318">
        <v>0.1</v>
      </c>
      <c r="Y13" s="322"/>
      <c r="AA13" s="477"/>
      <c r="AB13" s="477"/>
      <c r="AC13" s="325" t="s">
        <v>333</v>
      </c>
      <c r="AD13" s="318">
        <v>0.1</v>
      </c>
    </row>
    <row r="14" spans="1:30" ht="27" customHeight="1" x14ac:dyDescent="0.2">
      <c r="A14" s="505" t="s">
        <v>206</v>
      </c>
      <c r="B14" s="505"/>
      <c r="C14" s="198">
        <v>370</v>
      </c>
      <c r="D14" s="199" t="s">
        <v>66</v>
      </c>
      <c r="E14" s="177"/>
      <c r="F14" s="203">
        <f>+C14*$B$6/1000</f>
        <v>12950</v>
      </c>
      <c r="H14" s="489"/>
      <c r="I14" s="490"/>
      <c r="J14" s="492"/>
      <c r="K14" s="376" t="s">
        <v>264</v>
      </c>
      <c r="L14" s="377">
        <f>+B6</f>
        <v>35000</v>
      </c>
      <c r="S14" s="506"/>
      <c r="T14" s="506"/>
      <c r="U14" s="319" t="s">
        <v>264</v>
      </c>
      <c r="V14" s="318">
        <v>0.1</v>
      </c>
      <c r="W14" s="320"/>
      <c r="X14" s="320"/>
      <c r="Y14" s="323"/>
      <c r="AA14" s="476" t="s">
        <v>217</v>
      </c>
      <c r="AB14" s="478" t="s">
        <v>332</v>
      </c>
      <c r="AC14" s="326" t="s">
        <v>320</v>
      </c>
      <c r="AD14" s="318">
        <v>0.75</v>
      </c>
    </row>
    <row r="15" spans="1:30" ht="27" customHeight="1" x14ac:dyDescent="0.2">
      <c r="A15" s="505" t="s">
        <v>51</v>
      </c>
      <c r="B15" s="505"/>
      <c r="C15" s="198">
        <v>580</v>
      </c>
      <c r="D15" s="199" t="s">
        <v>66</v>
      </c>
      <c r="E15" s="177"/>
      <c r="F15" s="203">
        <f>+C15*$B$6/1000</f>
        <v>20300</v>
      </c>
      <c r="H15" s="489"/>
      <c r="I15" s="486" t="s">
        <v>287</v>
      </c>
      <c r="J15" s="493"/>
      <c r="K15" s="267"/>
      <c r="L15" s="268"/>
      <c r="M15" s="375" t="s">
        <v>122</v>
      </c>
      <c r="N15" s="271">
        <v>1</v>
      </c>
      <c r="O15" s="309">
        <f>+B6</f>
        <v>35000</v>
      </c>
      <c r="P15" s="263" t="s">
        <v>66</v>
      </c>
      <c r="Q15" s="264">
        <f>+O15*$B$8</f>
        <v>2380000</v>
      </c>
      <c r="S15" s="506"/>
      <c r="T15" s="506" t="s">
        <v>287</v>
      </c>
      <c r="U15" s="320"/>
      <c r="V15" s="320"/>
      <c r="W15" s="317" t="s">
        <v>320</v>
      </c>
      <c r="X15" s="318">
        <v>0.15</v>
      </c>
      <c r="Y15" s="322"/>
      <c r="AA15" s="477"/>
      <c r="AB15" s="479"/>
      <c r="AC15" s="325" t="s">
        <v>334</v>
      </c>
      <c r="AD15" s="350">
        <f>100%-AD14</f>
        <v>0.25</v>
      </c>
    </row>
    <row r="16" spans="1:30" ht="27" customHeight="1" x14ac:dyDescent="0.2">
      <c r="A16" s="505" t="s">
        <v>95</v>
      </c>
      <c r="B16" s="505"/>
      <c r="C16" s="200">
        <v>485</v>
      </c>
      <c r="D16" s="201">
        <f>+D12</f>
        <v>1.5</v>
      </c>
      <c r="E16" s="177"/>
      <c r="F16" s="204">
        <f>(C16*$B$6/1000)+(D16*B6)</f>
        <v>69475</v>
      </c>
      <c r="H16" s="490"/>
      <c r="I16" s="487"/>
      <c r="J16" s="494"/>
      <c r="K16" s="269"/>
      <c r="L16" s="270"/>
      <c r="M16" s="375" t="s">
        <v>124</v>
      </c>
      <c r="N16" s="271">
        <v>0.4</v>
      </c>
      <c r="O16" s="310">
        <f>+N16*B6</f>
        <v>14000</v>
      </c>
      <c r="P16" s="265">
        <f>+O16*B7</f>
        <v>238000</v>
      </c>
      <c r="Q16" s="266">
        <f>(O15-O16)*$B$8</f>
        <v>1428000</v>
      </c>
      <c r="S16" s="506"/>
      <c r="T16" s="506"/>
      <c r="U16" s="320"/>
      <c r="V16" s="320"/>
      <c r="W16" s="317" t="s">
        <v>325</v>
      </c>
      <c r="X16" s="318">
        <v>0.85</v>
      </c>
      <c r="Y16" s="322"/>
    </row>
    <row r="17" spans="1:30" ht="27" customHeight="1" x14ac:dyDescent="0.2">
      <c r="A17" s="177"/>
      <c r="B17" s="177"/>
      <c r="C17" s="177"/>
      <c r="D17" s="177"/>
      <c r="E17" s="177"/>
      <c r="O17" s="281"/>
      <c r="P17" s="281"/>
      <c r="Q17" s="281"/>
      <c r="S17" s="311"/>
    </row>
    <row r="18" spans="1:30" ht="27" customHeight="1" x14ac:dyDescent="0.2">
      <c r="A18" s="500" t="s">
        <v>213</v>
      </c>
      <c r="B18" s="501"/>
      <c r="C18" s="501"/>
      <c r="D18" s="502"/>
      <c r="F18" s="249">
        <f>+SUM(F12:F16)</f>
        <v>200725</v>
      </c>
      <c r="H18" s="488" t="s">
        <v>288</v>
      </c>
      <c r="I18" s="488" t="s">
        <v>257</v>
      </c>
      <c r="J18" s="491">
        <f>+F18</f>
        <v>200725</v>
      </c>
      <c r="K18" s="482" t="s">
        <v>263</v>
      </c>
      <c r="L18" s="484">
        <f>+B6</f>
        <v>35000</v>
      </c>
      <c r="M18" s="248" t="s">
        <v>122</v>
      </c>
      <c r="N18" s="254">
        <v>1</v>
      </c>
      <c r="O18" s="273">
        <f>+L18</f>
        <v>35000</v>
      </c>
      <c r="P18" s="257" t="s">
        <v>66</v>
      </c>
      <c r="Q18" s="255">
        <f>+O18*B8</f>
        <v>2380000</v>
      </c>
      <c r="S18" s="488" t="s">
        <v>319</v>
      </c>
      <c r="T18" s="488" t="s">
        <v>257</v>
      </c>
      <c r="U18" s="508" t="s">
        <v>263</v>
      </c>
      <c r="V18" s="510">
        <v>0.85</v>
      </c>
      <c r="W18" s="314" t="s">
        <v>320</v>
      </c>
      <c r="X18" s="315">
        <v>0.9</v>
      </c>
      <c r="Y18" s="322"/>
      <c r="AB18" s="316" t="s">
        <v>6</v>
      </c>
      <c r="AC18" s="316" t="s">
        <v>330</v>
      </c>
      <c r="AD18" s="316" t="s">
        <v>9</v>
      </c>
    </row>
    <row r="19" spans="1:30" ht="27" customHeight="1" x14ac:dyDescent="0.2">
      <c r="H19" s="489"/>
      <c r="I19" s="489"/>
      <c r="J19" s="492"/>
      <c r="K19" s="483"/>
      <c r="L19" s="485"/>
      <c r="M19" s="248" t="s">
        <v>124</v>
      </c>
      <c r="N19" s="254">
        <v>0.2</v>
      </c>
      <c r="O19" s="308">
        <f>+N19*L18</f>
        <v>7000</v>
      </c>
      <c r="P19" s="258">
        <f>+O19*B7</f>
        <v>119000</v>
      </c>
      <c r="Q19" s="266">
        <f>(O18-O19)*$B$8</f>
        <v>1904000</v>
      </c>
      <c r="S19" s="489"/>
      <c r="T19" s="489"/>
      <c r="U19" s="509"/>
      <c r="V19" s="511"/>
      <c r="W19" s="314" t="s">
        <v>326</v>
      </c>
      <c r="X19" s="313">
        <v>0.1</v>
      </c>
      <c r="Y19" s="322"/>
      <c r="AB19" s="476" t="s">
        <v>329</v>
      </c>
      <c r="AC19" s="324" t="s">
        <v>320</v>
      </c>
      <c r="AD19" s="318">
        <v>0.15</v>
      </c>
    </row>
    <row r="20" spans="1:30" ht="27" customHeight="1" x14ac:dyDescent="0.2">
      <c r="H20" s="489"/>
      <c r="I20" s="490"/>
      <c r="J20" s="492"/>
      <c r="K20" s="348" t="s">
        <v>264</v>
      </c>
      <c r="L20" s="349">
        <f>+B6</f>
        <v>35000</v>
      </c>
      <c r="O20" s="281"/>
      <c r="P20" s="281"/>
      <c r="Q20" s="281"/>
      <c r="S20" s="489"/>
      <c r="T20" s="490"/>
      <c r="U20" s="312" t="s">
        <v>264</v>
      </c>
      <c r="V20" s="313">
        <v>0.15</v>
      </c>
      <c r="AB20" s="477"/>
      <c r="AC20" s="325" t="s">
        <v>335</v>
      </c>
      <c r="AD20" s="318">
        <v>0.85</v>
      </c>
    </row>
    <row r="21" spans="1:30" ht="27" customHeight="1" x14ac:dyDescent="0.2">
      <c r="H21" s="489"/>
      <c r="I21" s="486" t="s">
        <v>287</v>
      </c>
      <c r="J21" s="493"/>
      <c r="K21" s="267"/>
      <c r="L21" s="268"/>
      <c r="M21" s="375" t="s">
        <v>122</v>
      </c>
      <c r="N21" s="271">
        <v>1</v>
      </c>
      <c r="O21" s="309">
        <f>+B6</f>
        <v>35000</v>
      </c>
      <c r="P21" s="263" t="s">
        <v>66</v>
      </c>
      <c r="Q21" s="264">
        <f>+O21*$B$8</f>
        <v>2380000</v>
      </c>
      <c r="S21" s="489"/>
      <c r="T21" s="488" t="s">
        <v>287</v>
      </c>
      <c r="U21" s="267"/>
      <c r="V21" s="268"/>
      <c r="W21" s="314" t="s">
        <v>320</v>
      </c>
      <c r="X21" s="315">
        <v>0.05</v>
      </c>
      <c r="Y21" s="322"/>
      <c r="AB21" s="476" t="s">
        <v>217</v>
      </c>
      <c r="AC21" s="326" t="s">
        <v>320</v>
      </c>
      <c r="AD21" s="318">
        <v>0.05</v>
      </c>
    </row>
    <row r="22" spans="1:30" ht="27" customHeight="1" x14ac:dyDescent="0.2">
      <c r="H22" s="490"/>
      <c r="I22" s="487"/>
      <c r="J22" s="494"/>
      <c r="K22" s="269"/>
      <c r="L22" s="270"/>
      <c r="M22" s="375" t="s">
        <v>124</v>
      </c>
      <c r="N22" s="271">
        <v>0.6</v>
      </c>
      <c r="O22" s="310">
        <f>B6*N22</f>
        <v>21000</v>
      </c>
      <c r="P22" s="265">
        <f>+O22*B7</f>
        <v>357000</v>
      </c>
      <c r="Q22" s="266">
        <f>(O21-O22)*$B$8</f>
        <v>952000</v>
      </c>
      <c r="S22" s="490"/>
      <c r="T22" s="490"/>
      <c r="U22" s="269"/>
      <c r="V22" s="270"/>
      <c r="W22" s="314" t="s">
        <v>327</v>
      </c>
      <c r="X22" s="313">
        <v>0.95</v>
      </c>
      <c r="Y22" s="322"/>
      <c r="AB22" s="477"/>
      <c r="AC22" s="325" t="s">
        <v>327</v>
      </c>
      <c r="AD22" s="318">
        <v>0.95</v>
      </c>
    </row>
  </sheetData>
  <mergeCells count="42">
    <mergeCell ref="S18:S22"/>
    <mergeCell ref="T18:T20"/>
    <mergeCell ref="U18:U19"/>
    <mergeCell ref="V18:V19"/>
    <mergeCell ref="T21:T22"/>
    <mergeCell ref="S12:S16"/>
    <mergeCell ref="T12:T14"/>
    <mergeCell ref="U12:U13"/>
    <mergeCell ref="V12:V13"/>
    <mergeCell ref="T15:T16"/>
    <mergeCell ref="A18:D18"/>
    <mergeCell ref="C10:C11"/>
    <mergeCell ref="D10:D11"/>
    <mergeCell ref="F10:F11"/>
    <mergeCell ref="A12:B12"/>
    <mergeCell ref="A13:B13"/>
    <mergeCell ref="A14:B14"/>
    <mergeCell ref="A15:B15"/>
    <mergeCell ref="A16:B16"/>
    <mergeCell ref="I10:J10"/>
    <mergeCell ref="K12:K13"/>
    <mergeCell ref="L12:L13"/>
    <mergeCell ref="J12:J14"/>
    <mergeCell ref="I12:I14"/>
    <mergeCell ref="I11:J11"/>
    <mergeCell ref="M11:N11"/>
    <mergeCell ref="K18:K19"/>
    <mergeCell ref="L18:L19"/>
    <mergeCell ref="I15:I16"/>
    <mergeCell ref="H12:H16"/>
    <mergeCell ref="H18:H22"/>
    <mergeCell ref="I18:I20"/>
    <mergeCell ref="I21:I22"/>
    <mergeCell ref="J18:J20"/>
    <mergeCell ref="J21:J22"/>
    <mergeCell ref="J15:J16"/>
    <mergeCell ref="AB21:AB22"/>
    <mergeCell ref="AA12:AA13"/>
    <mergeCell ref="AA14:AA15"/>
    <mergeCell ref="AB19:AB20"/>
    <mergeCell ref="AB12:AB13"/>
    <mergeCell ref="AB14:AB1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V1033"/>
  <sheetViews>
    <sheetView showGridLines="0" topLeftCell="A16" zoomScale="60" zoomScaleNormal="60" workbookViewId="0">
      <selection activeCell="AA42" sqref="AA42"/>
    </sheetView>
  </sheetViews>
  <sheetFormatPr baseColWidth="10" defaultRowHeight="14.25" x14ac:dyDescent="0.2"/>
  <cols>
    <col min="1" max="1" width="11.375" style="223" bestFit="1" customWidth="1"/>
    <col min="2" max="2" width="2.25" style="223" customWidth="1"/>
    <col min="3" max="3" width="3.625" style="223" customWidth="1"/>
    <col min="4" max="5" width="11.375" style="223" bestFit="1" customWidth="1"/>
    <col min="6" max="6" width="2.25" style="223" customWidth="1"/>
    <col min="7" max="7" width="3.625" style="223" customWidth="1"/>
    <col min="8" max="8" width="11.375" style="223" bestFit="1" customWidth="1"/>
    <col min="9" max="9" width="12" style="223" bestFit="1" customWidth="1"/>
    <col min="10" max="10" width="2.25" style="223" customWidth="1"/>
    <col min="11" max="11" width="3.625" style="223" customWidth="1"/>
    <col min="12" max="12" width="14.5" style="223" customWidth="1"/>
    <col min="13" max="13" width="13" style="223" customWidth="1"/>
    <col min="14" max="14" width="2.25" style="223" customWidth="1"/>
    <col min="15" max="15" width="3.625" style="223" customWidth="1"/>
    <col min="16" max="16" width="11.125" style="223" bestFit="1" customWidth="1"/>
    <col min="17" max="17" width="11.375" style="223" bestFit="1" customWidth="1"/>
    <col min="18" max="18" width="2.25" style="223" customWidth="1"/>
    <col min="19" max="19" width="3.625" style="223" customWidth="1"/>
    <col min="20" max="20" width="11.125" style="223" bestFit="1" customWidth="1"/>
    <col min="21" max="21" width="11.375" style="223" bestFit="1" customWidth="1"/>
    <col min="22" max="22" width="2.25" style="223" customWidth="1"/>
    <col min="23" max="23" width="12" style="223" bestFit="1" customWidth="1"/>
    <col min="24" max="24" width="6" style="223" customWidth="1"/>
    <col min="25" max="25" width="11" style="223"/>
    <col min="26" max="26" width="2.25" style="223" customWidth="1"/>
    <col min="27" max="29" width="11" style="223"/>
    <col min="30" max="30" width="2.25" style="223" customWidth="1"/>
    <col min="31" max="33" width="11" style="223"/>
    <col min="34" max="34" width="2.25" style="223" customWidth="1"/>
    <col min="35" max="188" width="11" style="223"/>
    <col min="189" max="190" width="11.125" style="223" bestFit="1" customWidth="1"/>
    <col min="191" max="191" width="11" style="223"/>
    <col min="192" max="194" width="11.125" style="223" bestFit="1" customWidth="1"/>
    <col min="195" max="195" width="11" style="223"/>
    <col min="196" max="203" width="11.125" style="223" bestFit="1" customWidth="1"/>
    <col min="204" max="204" width="14.25" style="223" bestFit="1" customWidth="1"/>
    <col min="205" max="16384" width="11" style="223"/>
  </cols>
  <sheetData>
    <row r="1" spans="1:25" ht="15" x14ac:dyDescent="0.25">
      <c r="A1" s="222"/>
      <c r="T1" s="352">
        <v>0.9</v>
      </c>
      <c r="W1" s="225"/>
    </row>
    <row r="2" spans="1:25" x14ac:dyDescent="0.2">
      <c r="T2" s="226" t="s">
        <v>122</v>
      </c>
    </row>
    <row r="3" spans="1:25" x14ac:dyDescent="0.2">
      <c r="P3" s="352">
        <v>0.9</v>
      </c>
      <c r="W3" s="227">
        <f>SUM(D27,H15,L10,P6,T4)</f>
        <v>695275</v>
      </c>
      <c r="X3" s="227" t="s">
        <v>267</v>
      </c>
      <c r="Y3" s="292"/>
    </row>
    <row r="4" spans="1:25" x14ac:dyDescent="0.2">
      <c r="P4" s="226" t="s">
        <v>123</v>
      </c>
      <c r="T4" s="246">
        <f>+'Costos China'!Q12</f>
        <v>2380000</v>
      </c>
      <c r="U4" s="364">
        <f>W3</f>
        <v>695275</v>
      </c>
    </row>
    <row r="6" spans="1:25" x14ac:dyDescent="0.2">
      <c r="P6" s="228"/>
      <c r="Q6" s="364">
        <f>IF(ABS(1-(T1+T6))&lt;=0.00001,T1*U4+T6*U9,NA())</f>
        <v>680400</v>
      </c>
      <c r="T6" s="352">
        <v>0.1</v>
      </c>
    </row>
    <row r="7" spans="1:25" x14ac:dyDescent="0.2">
      <c r="T7" s="226" t="s">
        <v>266</v>
      </c>
    </row>
    <row r="8" spans="1:25" x14ac:dyDescent="0.2">
      <c r="L8" s="226" t="s">
        <v>125</v>
      </c>
      <c r="W8" s="227">
        <f>'Costos China'!Q13+SUM(D27,H15,L10,P6,T9)</f>
        <v>546525</v>
      </c>
      <c r="X8" s="227" t="s">
        <v>268</v>
      </c>
      <c r="Y8" s="292"/>
    </row>
    <row r="9" spans="1:25" x14ac:dyDescent="0.2">
      <c r="T9" s="230">
        <f>-'Costos China'!P13</f>
        <v>-29750</v>
      </c>
      <c r="U9" s="364">
        <f>W8</f>
        <v>546525</v>
      </c>
    </row>
    <row r="10" spans="1:25" x14ac:dyDescent="0.2">
      <c r="L10" s="231">
        <f>-'Costos China'!F18</f>
        <v>-200725</v>
      </c>
      <c r="M10" s="364">
        <f>IF(ABS(1-(P3+P11))&lt;=0.00001,P3*Q6+P11*Q14,NA())</f>
        <v>443887.5</v>
      </c>
    </row>
    <row r="11" spans="1:25" x14ac:dyDescent="0.2">
      <c r="P11" s="352">
        <v>0.1</v>
      </c>
    </row>
    <row r="12" spans="1:25" x14ac:dyDescent="0.2">
      <c r="H12" s="352">
        <v>0.65</v>
      </c>
      <c r="P12" s="226" t="s">
        <v>161</v>
      </c>
    </row>
    <row r="13" spans="1:25" x14ac:dyDescent="0.2">
      <c r="H13" s="226" t="s">
        <v>127</v>
      </c>
      <c r="W13" s="353">
        <f>SUM(D27,H15,L10,P14)</f>
        <v>-1684725</v>
      </c>
      <c r="X13" s="227" t="s">
        <v>269</v>
      </c>
    </row>
    <row r="14" spans="1:25" x14ac:dyDescent="0.2">
      <c r="J14" s="223">
        <f>IF(I15=M10,1,IF(I15=M21,2))</f>
        <v>1</v>
      </c>
      <c r="P14" s="272"/>
      <c r="Q14" s="364">
        <f>W13</f>
        <v>-1684725</v>
      </c>
    </row>
    <row r="15" spans="1:25" x14ac:dyDescent="0.2">
      <c r="H15" s="228">
        <v>0</v>
      </c>
      <c r="I15" s="364">
        <f>MAX(M10,M21)</f>
        <v>443887.5</v>
      </c>
    </row>
    <row r="16" spans="1:25" x14ac:dyDescent="0.2">
      <c r="P16" s="352">
        <v>0.15</v>
      </c>
    </row>
    <row r="17" spans="4:24" x14ac:dyDescent="0.2">
      <c r="P17" s="226" t="s">
        <v>122</v>
      </c>
    </row>
    <row r="18" spans="4:24" x14ac:dyDescent="0.2">
      <c r="W18" s="227">
        <f>SUM(D27,H15,L21,P19)</f>
        <v>896000</v>
      </c>
      <c r="X18" s="227" t="s">
        <v>270</v>
      </c>
    </row>
    <row r="19" spans="4:24" x14ac:dyDescent="0.2">
      <c r="L19" s="226" t="s">
        <v>128</v>
      </c>
      <c r="P19" s="246">
        <f>+'Costos China'!Q15</f>
        <v>2380000</v>
      </c>
      <c r="Q19" s="364">
        <f>W18</f>
        <v>896000</v>
      </c>
    </row>
    <row r="21" spans="4:24" x14ac:dyDescent="0.2">
      <c r="L21" s="228">
        <v>0</v>
      </c>
      <c r="M21" s="364">
        <f>IF(ABS(1-(P16+P21))&lt;=0.00001,P16*Q19+P21*Q24,NA())</f>
        <v>-115500</v>
      </c>
      <c r="P21" s="352">
        <v>0.85</v>
      </c>
    </row>
    <row r="22" spans="4:24" x14ac:dyDescent="0.2">
      <c r="P22" s="226" t="s">
        <v>318</v>
      </c>
    </row>
    <row r="23" spans="4:24" x14ac:dyDescent="0.2">
      <c r="W23" s="353">
        <f>'Costos China'!Q16+SUM(D27,H15,L21,P24)</f>
        <v>-294000</v>
      </c>
      <c r="X23" s="227" t="s">
        <v>271</v>
      </c>
    </row>
    <row r="24" spans="4:24" x14ac:dyDescent="0.2">
      <c r="P24" s="231">
        <f>-'Costos China'!P16</f>
        <v>-238000</v>
      </c>
      <c r="Q24" s="364">
        <f>W23</f>
        <v>-294000</v>
      </c>
    </row>
    <row r="25" spans="4:24" x14ac:dyDescent="0.2">
      <c r="D25" s="226" t="s">
        <v>129</v>
      </c>
    </row>
    <row r="26" spans="4:24" x14ac:dyDescent="0.2">
      <c r="T26" s="351">
        <f>+'Costos China'!AD14</f>
        <v>0.75</v>
      </c>
    </row>
    <row r="27" spans="4:24" x14ac:dyDescent="0.2">
      <c r="D27" s="231">
        <f>-'Costo Importar'!I10</f>
        <v>-1484000</v>
      </c>
      <c r="E27" s="364">
        <f>IF(ABS(1-(H12+H37))&lt;=0.00001,H12*I15+H37*I40,NA())</f>
        <v>362670</v>
      </c>
      <c r="T27" s="226" t="s">
        <v>122</v>
      </c>
    </row>
    <row r="28" spans="4:24" x14ac:dyDescent="0.2">
      <c r="P28" s="352">
        <v>0.85</v>
      </c>
      <c r="W28" s="227">
        <f>SUM(D27,H40,L35,P31,T29)</f>
        <v>695275</v>
      </c>
      <c r="X28" s="227" t="s">
        <v>272</v>
      </c>
    </row>
    <row r="29" spans="4:24" x14ac:dyDescent="0.2">
      <c r="P29" s="226" t="s">
        <v>123</v>
      </c>
      <c r="T29" s="246">
        <f>+'Costos China'!Q18</f>
        <v>2380000</v>
      </c>
      <c r="U29" s="364">
        <f>W28</f>
        <v>695275</v>
      </c>
    </row>
    <row r="31" spans="4:24" x14ac:dyDescent="0.2">
      <c r="P31" s="228">
        <v>0</v>
      </c>
      <c r="Q31" s="364">
        <f>IF(ABS(1-(T26+T31))&lt;=0.00001,T26*U29+T31*U34,NA())</f>
        <v>546525</v>
      </c>
      <c r="T31" s="351">
        <f>+'Costos China'!AD15</f>
        <v>0.25</v>
      </c>
    </row>
    <row r="32" spans="4:24" x14ac:dyDescent="0.2">
      <c r="T32" s="226" t="s">
        <v>265</v>
      </c>
    </row>
    <row r="33" spans="1:24" x14ac:dyDescent="0.2">
      <c r="L33" s="226" t="s">
        <v>125</v>
      </c>
      <c r="W33" s="227">
        <f>'Costos China'!Q19+SUM(D27,H40,L35,P31,T34)</f>
        <v>100275</v>
      </c>
      <c r="X33" s="227" t="s">
        <v>273</v>
      </c>
    </row>
    <row r="34" spans="1:24" x14ac:dyDescent="0.2">
      <c r="T34" s="230">
        <f>-'Costos China'!P19</f>
        <v>-119000</v>
      </c>
      <c r="U34" s="364">
        <f>W33</f>
        <v>100275</v>
      </c>
    </row>
    <row r="35" spans="1:24" x14ac:dyDescent="0.2">
      <c r="L35" s="231">
        <f>-'Costos China'!F18</f>
        <v>-200725</v>
      </c>
      <c r="M35" s="364">
        <f>IF(ABS(1-(P28+P36))&lt;=0.00001,P28*Q31+P36*Q39,NA())</f>
        <v>211837.5</v>
      </c>
    </row>
    <row r="36" spans="1:24" x14ac:dyDescent="0.2">
      <c r="P36" s="352">
        <v>0.15</v>
      </c>
    </row>
    <row r="37" spans="1:24" x14ac:dyDescent="0.2">
      <c r="H37" s="352">
        <v>0.35</v>
      </c>
      <c r="P37" s="226" t="s">
        <v>161</v>
      </c>
    </row>
    <row r="38" spans="1:24" x14ac:dyDescent="0.2">
      <c r="H38" s="226" t="s">
        <v>158</v>
      </c>
      <c r="W38" s="353">
        <f>SUM(D27,H40,L35,P39)</f>
        <v>-1684725</v>
      </c>
      <c r="X38" s="227" t="s">
        <v>274</v>
      </c>
    </row>
    <row r="39" spans="1:24" x14ac:dyDescent="0.2">
      <c r="J39" s="223">
        <f>IF(I40=M35,1,IF(I40=M46,2))</f>
        <v>1</v>
      </c>
      <c r="P39" s="272"/>
      <c r="Q39" s="364">
        <f>W38</f>
        <v>-1684725</v>
      </c>
    </row>
    <row r="40" spans="1:24" x14ac:dyDescent="0.2">
      <c r="H40" s="228">
        <v>0</v>
      </c>
      <c r="I40" s="364">
        <f>MAX(M35,M46)</f>
        <v>211837.5</v>
      </c>
    </row>
    <row r="41" spans="1:24" x14ac:dyDescent="0.2">
      <c r="P41" s="352">
        <v>0.05</v>
      </c>
    </row>
    <row r="42" spans="1:24" x14ac:dyDescent="0.2">
      <c r="P42" s="226" t="s">
        <v>122</v>
      </c>
    </row>
    <row r="43" spans="1:24" x14ac:dyDescent="0.2">
      <c r="W43" s="227">
        <f>SUM(D27,H40,L46,P44)</f>
        <v>896000</v>
      </c>
      <c r="X43" s="227" t="s">
        <v>275</v>
      </c>
    </row>
    <row r="44" spans="1:24" x14ac:dyDescent="0.2">
      <c r="L44" s="226" t="s">
        <v>128</v>
      </c>
      <c r="P44" s="246">
        <f>+'Costos China'!Q21</f>
        <v>2380000</v>
      </c>
      <c r="Q44" s="364">
        <f>W43</f>
        <v>896000</v>
      </c>
    </row>
    <row r="46" spans="1:24" x14ac:dyDescent="0.2">
      <c r="L46" s="228">
        <v>0</v>
      </c>
      <c r="M46" s="364">
        <f>IF(ABS(1-(P41+P46))&lt;=0.00001,P41*Q44+P46*Q49,NA())</f>
        <v>-799750</v>
      </c>
      <c r="P46" s="352">
        <v>0.95</v>
      </c>
    </row>
    <row r="47" spans="1:24" x14ac:dyDescent="0.2">
      <c r="P47" s="226" t="s">
        <v>302</v>
      </c>
    </row>
    <row r="48" spans="1:24" x14ac:dyDescent="0.2">
      <c r="A48" s="232"/>
      <c r="W48" s="353">
        <f>'Costos China'!Q22+SUM(D27,H40,L46,P49)</f>
        <v>-889000</v>
      </c>
      <c r="X48" s="227" t="s">
        <v>276</v>
      </c>
    </row>
    <row r="49" spans="1:24" x14ac:dyDescent="0.2">
      <c r="B49" s="223">
        <f>IF(A50=E27,1,IF(A50=E73,2))</f>
        <v>1</v>
      </c>
      <c r="P49" s="231">
        <f>-'Costos China'!P22</f>
        <v>-357000</v>
      </c>
      <c r="Q49" s="364">
        <f>W48</f>
        <v>-889000</v>
      </c>
    </row>
    <row r="50" spans="1:24" x14ac:dyDescent="0.2">
      <c r="A50" s="364">
        <f>MAX(E27,E73)</f>
        <v>362670</v>
      </c>
    </row>
    <row r="51" spans="1:24" x14ac:dyDescent="0.2">
      <c r="T51" s="352">
        <v>0.95</v>
      </c>
    </row>
    <row r="52" spans="1:24" x14ac:dyDescent="0.2">
      <c r="T52" s="226" t="s">
        <v>122</v>
      </c>
    </row>
    <row r="53" spans="1:24" x14ac:dyDescent="0.2">
      <c r="P53" s="352">
        <v>0.9</v>
      </c>
      <c r="W53" s="227">
        <f>SUM(D73,H65,L60,P56,T54)</f>
        <v>514937.5</v>
      </c>
      <c r="X53" s="227" t="s">
        <v>277</v>
      </c>
    </row>
    <row r="54" spans="1:24" x14ac:dyDescent="0.2">
      <c r="P54" s="226" t="s">
        <v>298</v>
      </c>
      <c r="T54" s="246">
        <f>+'Costo Importar'!M11</f>
        <v>2380000</v>
      </c>
      <c r="U54" s="364">
        <f>W53</f>
        <v>514937.5</v>
      </c>
    </row>
    <row r="56" spans="1:24" x14ac:dyDescent="0.2">
      <c r="P56" s="228">
        <v>0</v>
      </c>
      <c r="Q56" s="364">
        <f>IF(ABS(1-(T51+T56))&lt;=0.00001,T51*U54+T56*U59,NA())</f>
        <v>500062.5</v>
      </c>
      <c r="T56" s="352">
        <v>0.05</v>
      </c>
    </row>
    <row r="57" spans="1:24" x14ac:dyDescent="0.2">
      <c r="T57" s="226" t="s">
        <v>300</v>
      </c>
    </row>
    <row r="58" spans="1:24" x14ac:dyDescent="0.2">
      <c r="L58" s="226" t="s">
        <v>130</v>
      </c>
      <c r="W58" s="227">
        <f>'Costos Brasil'!V19+SUM(D73,H65,L60,P56,T59)</f>
        <v>217437.5</v>
      </c>
      <c r="X58" s="227" t="s">
        <v>278</v>
      </c>
    </row>
    <row r="59" spans="1:24" x14ac:dyDescent="0.2">
      <c r="T59" s="231">
        <f>-'Costos Brasil'!U19</f>
        <v>-59500</v>
      </c>
      <c r="U59" s="364">
        <f>W58</f>
        <v>217437.5</v>
      </c>
    </row>
    <row r="60" spans="1:24" x14ac:dyDescent="0.2">
      <c r="L60" s="231">
        <f>-'Costos Brasil'!G18</f>
        <v>-141312.5</v>
      </c>
      <c r="M60" s="364">
        <f>IF(ABS(1-(P53+P61))&lt;=0.00001,P53*Q56+P61*Q64,NA())</f>
        <v>265475</v>
      </c>
    </row>
    <row r="61" spans="1:24" x14ac:dyDescent="0.2">
      <c r="P61" s="352">
        <v>0.1</v>
      </c>
    </row>
    <row r="62" spans="1:24" x14ac:dyDescent="0.2">
      <c r="H62" s="352">
        <v>0.7</v>
      </c>
      <c r="P62" s="226" t="s">
        <v>299</v>
      </c>
    </row>
    <row r="63" spans="1:24" x14ac:dyDescent="0.2">
      <c r="H63" s="226" t="s">
        <v>131</v>
      </c>
      <c r="W63" s="353">
        <f>+'Costos Brasil'!V20+SUM(D73,H65,L60,P64)</f>
        <v>-1845812.5</v>
      </c>
      <c r="X63" s="227" t="s">
        <v>279</v>
      </c>
    </row>
    <row r="64" spans="1:24" x14ac:dyDescent="0.2">
      <c r="J64" s="223">
        <f>IF(I65=M60,1,IF(I65=M71,2))</f>
        <v>2</v>
      </c>
      <c r="P64" s="231">
        <f>+'Costos Brasil'!H18</f>
        <v>19250</v>
      </c>
      <c r="Q64" s="364">
        <f>W63</f>
        <v>-1845812.5</v>
      </c>
    </row>
    <row r="65" spans="4:24" x14ac:dyDescent="0.2">
      <c r="H65" s="231">
        <f>-'Costo Importar'!I11</f>
        <v>-1723750</v>
      </c>
      <c r="I65" s="364">
        <f>MAX(M60,M71)</f>
        <v>498093.75</v>
      </c>
    </row>
    <row r="66" spans="4:24" x14ac:dyDescent="0.2">
      <c r="P66" s="352">
        <v>0.15</v>
      </c>
    </row>
    <row r="67" spans="4:24" x14ac:dyDescent="0.2">
      <c r="P67" s="226" t="s">
        <v>132</v>
      </c>
    </row>
    <row r="68" spans="4:24" x14ac:dyDescent="0.2">
      <c r="W68" s="227">
        <f>'Costos Brasil'!V21+SUM(D73,H65,L71,P69)</f>
        <v>516687.5</v>
      </c>
      <c r="X68" s="227" t="s">
        <v>280</v>
      </c>
    </row>
    <row r="69" spans="4:24" x14ac:dyDescent="0.2">
      <c r="L69" s="226" t="s">
        <v>133</v>
      </c>
      <c r="P69" s="228">
        <v>0</v>
      </c>
      <c r="Q69" s="364">
        <f>W68</f>
        <v>516687.5</v>
      </c>
    </row>
    <row r="71" spans="4:24" x14ac:dyDescent="0.2">
      <c r="D71" s="226" t="s">
        <v>134</v>
      </c>
      <c r="L71" s="231">
        <f>-'Costos Brasil'!H31</f>
        <v>-139562.5</v>
      </c>
      <c r="M71" s="364">
        <f>IF(ABS(1-(P66+P71))&lt;=0.00001,P66*Q69+P71*Q74,NA())</f>
        <v>498093.75</v>
      </c>
      <c r="P71" s="352">
        <v>0.85</v>
      </c>
    </row>
    <row r="72" spans="4:24" x14ac:dyDescent="0.2">
      <c r="P72" s="226" t="s">
        <v>301</v>
      </c>
    </row>
    <row r="73" spans="4:24" x14ac:dyDescent="0.2">
      <c r="D73" s="228">
        <v>0</v>
      </c>
      <c r="E73" s="364">
        <f>IF(ABS(1-(H62+H78))&lt;=0.00001,H62*I65+H78*I81,NA())</f>
        <v>318744.15000000002</v>
      </c>
      <c r="W73" s="227">
        <f>'Costos Brasil'!V22+SUM(D73,H65,L71,P74)</f>
        <v>494812.5</v>
      </c>
      <c r="X73" s="227" t="s">
        <v>281</v>
      </c>
    </row>
    <row r="74" spans="4:24" x14ac:dyDescent="0.2">
      <c r="P74" s="231">
        <f>-'Costos Brasil'!I31</f>
        <v>-21875</v>
      </c>
      <c r="Q74" s="364">
        <f>W73</f>
        <v>494812.5</v>
      </c>
    </row>
    <row r="76" spans="4:24" x14ac:dyDescent="0.2">
      <c r="L76" s="352">
        <v>0.5</v>
      </c>
    </row>
    <row r="77" spans="4:24" x14ac:dyDescent="0.2">
      <c r="L77" s="226" t="s">
        <v>157</v>
      </c>
    </row>
    <row r="78" spans="4:24" x14ac:dyDescent="0.2">
      <c r="H78" s="352">
        <v>0.3</v>
      </c>
      <c r="W78" s="227">
        <f>SUM(D73,H81,L79)</f>
        <v>752500</v>
      </c>
      <c r="X78" s="227" t="s">
        <v>282</v>
      </c>
    </row>
    <row r="79" spans="4:24" x14ac:dyDescent="0.2">
      <c r="H79" s="226" t="s">
        <v>251</v>
      </c>
      <c r="L79" s="246">
        <f>+'Costo Importar'!M12</f>
        <v>2380000</v>
      </c>
      <c r="M79" s="364">
        <f>W78</f>
        <v>752500</v>
      </c>
    </row>
    <row r="81" spans="2:24" x14ac:dyDescent="0.2">
      <c r="H81" s="231">
        <f>-'Costo Importar'!I12</f>
        <v>-1627500</v>
      </c>
      <c r="I81" s="364">
        <f>IF(ABS(1-(L76+L81))&lt;=0.00001,L76*M79+L81*M84,NA())</f>
        <v>-99738.25</v>
      </c>
      <c r="L81" s="352">
        <v>0.5</v>
      </c>
    </row>
    <row r="82" spans="2:24" x14ac:dyDescent="0.2">
      <c r="L82" s="226" t="s">
        <v>156</v>
      </c>
    </row>
    <row r="83" spans="2:24" x14ac:dyDescent="0.2">
      <c r="W83" s="353">
        <f>SUM(D73,H81,L84)</f>
        <v>-951976.5</v>
      </c>
      <c r="X83" s="227" t="s">
        <v>283</v>
      </c>
    </row>
    <row r="84" spans="2:24" ht="15" x14ac:dyDescent="0.25">
      <c r="L84" s="231">
        <f>'Costos Brasil'!I43</f>
        <v>675523.5</v>
      </c>
      <c r="M84" s="364">
        <f>W83</f>
        <v>-951976.5</v>
      </c>
      <c r="W84" s="225"/>
    </row>
    <row r="85" spans="2:24" ht="15" thickBot="1" x14ac:dyDescent="0.25"/>
    <row r="86" spans="2:24" ht="16.5" x14ac:dyDescent="0.3">
      <c r="B86" s="386"/>
      <c r="C86" s="387" t="s">
        <v>383</v>
      </c>
      <c r="D86" s="388"/>
      <c r="E86" s="389"/>
      <c r="F86" s="389"/>
      <c r="G86" s="390"/>
    </row>
    <row r="87" spans="2:24" ht="16.5" x14ac:dyDescent="0.3">
      <c r="B87" s="391"/>
      <c r="C87" s="392"/>
      <c r="D87" s="392"/>
      <c r="E87" s="393"/>
      <c r="F87" s="393"/>
      <c r="G87" s="394"/>
    </row>
    <row r="88" spans="2:24" ht="16.5" x14ac:dyDescent="0.3">
      <c r="B88" s="391"/>
      <c r="C88" s="395"/>
      <c r="D88" s="396" t="s">
        <v>384</v>
      </c>
      <c r="E88" s="393"/>
      <c r="F88" s="393"/>
      <c r="G88" s="394"/>
    </row>
    <row r="89" spans="2:24" ht="16.5" x14ac:dyDescent="0.3">
      <c r="B89" s="391"/>
      <c r="C89" s="392"/>
      <c r="D89" s="392"/>
      <c r="E89" s="393"/>
      <c r="F89" s="393"/>
      <c r="G89" s="394"/>
    </row>
    <row r="90" spans="2:24" ht="16.5" x14ac:dyDescent="0.3">
      <c r="B90" s="391"/>
      <c r="C90" s="397"/>
      <c r="D90" s="392" t="s">
        <v>385</v>
      </c>
      <c r="E90" s="393"/>
      <c r="F90" s="393"/>
      <c r="G90" s="394"/>
    </row>
    <row r="91" spans="2:24" ht="15" thickBot="1" x14ac:dyDescent="0.25">
      <c r="B91" s="398"/>
      <c r="C91" s="399"/>
      <c r="D91" s="399"/>
      <c r="E91" s="399"/>
      <c r="F91" s="399"/>
      <c r="G91" s="400"/>
    </row>
    <row r="92" spans="2:24" ht="7.5" customHeight="1" x14ac:dyDescent="0.2"/>
    <row r="1000" spans="189:204" x14ac:dyDescent="0.2">
      <c r="GH1000" s="233" t="s">
        <v>137</v>
      </c>
      <c r="GI1000" s="233" t="s">
        <v>138</v>
      </c>
      <c r="GJ1000" s="233" t="s">
        <v>139</v>
      </c>
      <c r="GK1000" s="233" t="s">
        <v>140</v>
      </c>
      <c r="GL1000" s="233" t="s">
        <v>141</v>
      </c>
      <c r="GM1000" s="233" t="s">
        <v>142</v>
      </c>
      <c r="GN1000" s="233" t="s">
        <v>143</v>
      </c>
      <c r="GO1000" s="233" t="s">
        <v>144</v>
      </c>
      <c r="GP1000" s="233" t="s">
        <v>145</v>
      </c>
      <c r="GQ1000" s="233" t="s">
        <v>146</v>
      </c>
      <c r="GR1000" s="233" t="s">
        <v>147</v>
      </c>
      <c r="GS1000" s="233" t="s">
        <v>148</v>
      </c>
      <c r="GT1000" s="233" t="s">
        <v>149</v>
      </c>
      <c r="GU1000" s="233" t="s">
        <v>150</v>
      </c>
      <c r="GV1000" s="233" t="s">
        <v>151</v>
      </c>
    </row>
    <row r="1001" spans="189:204" x14ac:dyDescent="0.2">
      <c r="GG1001" s="223">
        <v>0</v>
      </c>
      <c r="GH1001" s="233">
        <v>0</v>
      </c>
      <c r="GI1001" s="233" t="s">
        <v>152</v>
      </c>
      <c r="GJ1001" s="233">
        <v>0</v>
      </c>
      <c r="GK1001" s="233">
        <v>0</v>
      </c>
      <c r="GL1001" s="233">
        <v>0</v>
      </c>
      <c r="GM1001" s="233" t="s">
        <v>153</v>
      </c>
      <c r="GN1001" s="233">
        <v>2</v>
      </c>
      <c r="GO1001" s="233">
        <v>17</v>
      </c>
      <c r="GP1001" s="233">
        <v>8</v>
      </c>
      <c r="GQ1001" s="233">
        <v>0</v>
      </c>
      <c r="GR1001" s="233">
        <v>0</v>
      </c>
      <c r="GS1001" s="233">
        <v>0</v>
      </c>
      <c r="GT1001" s="234">
        <v>48</v>
      </c>
      <c r="GU1001" s="234">
        <v>1</v>
      </c>
      <c r="GV1001" s="234" t="b">
        <v>1</v>
      </c>
    </row>
    <row r="1002" spans="189:204" x14ac:dyDescent="0.2">
      <c r="GG1002" s="223">
        <v>25</v>
      </c>
      <c r="GH1002" s="233">
        <v>1</v>
      </c>
      <c r="GL1002" s="233">
        <v>7</v>
      </c>
      <c r="GM1002" s="233" t="s">
        <v>154</v>
      </c>
      <c r="GN1002" s="233">
        <v>0</v>
      </c>
      <c r="GO1002" s="233">
        <v>0</v>
      </c>
      <c r="GP1002" s="233">
        <v>0</v>
      </c>
      <c r="GQ1002" s="233">
        <v>0</v>
      </c>
      <c r="GR1002" s="233">
        <v>0</v>
      </c>
      <c r="GS1002" s="233">
        <v>0</v>
      </c>
      <c r="GT1002" s="234">
        <v>7</v>
      </c>
      <c r="GU1002" s="234">
        <v>21</v>
      </c>
      <c r="GV1002" s="234" t="b">
        <v>1</v>
      </c>
    </row>
    <row r="1003" spans="189:204" x14ac:dyDescent="0.2">
      <c r="GG1003" s="223">
        <v>26</v>
      </c>
      <c r="GH1003" s="233">
        <v>2</v>
      </c>
      <c r="GL1003" s="233">
        <v>7</v>
      </c>
      <c r="GM1003" s="233" t="s">
        <v>154</v>
      </c>
      <c r="GN1003" s="233">
        <v>0</v>
      </c>
      <c r="GO1003" s="233">
        <v>0</v>
      </c>
      <c r="GP1003" s="233">
        <v>0</v>
      </c>
      <c r="GQ1003" s="233">
        <v>0</v>
      </c>
      <c r="GR1003" s="233">
        <v>0</v>
      </c>
      <c r="GS1003" s="233">
        <v>0</v>
      </c>
      <c r="GT1003" s="234">
        <v>2</v>
      </c>
      <c r="GU1003" s="234">
        <v>21</v>
      </c>
      <c r="GV1003" s="234" t="b">
        <v>1</v>
      </c>
    </row>
    <row r="1004" spans="189:204" x14ac:dyDescent="0.2">
      <c r="GG1004" s="223">
        <v>27</v>
      </c>
      <c r="GH1004" s="223">
        <v>3</v>
      </c>
      <c r="GL1004" s="223">
        <v>22</v>
      </c>
      <c r="GM1004" s="223" t="s">
        <v>154</v>
      </c>
      <c r="GN1004" s="223">
        <v>0</v>
      </c>
      <c r="GO1004" s="223">
        <v>0</v>
      </c>
      <c r="GP1004" s="223">
        <v>0</v>
      </c>
      <c r="GQ1004" s="223">
        <v>0</v>
      </c>
      <c r="GR1004" s="223">
        <v>0</v>
      </c>
      <c r="GS1004" s="223">
        <v>0</v>
      </c>
      <c r="GT1004" s="223">
        <v>17</v>
      </c>
      <c r="GU1004" s="223">
        <v>17</v>
      </c>
      <c r="GV1004" s="223" t="b">
        <v>1</v>
      </c>
    </row>
    <row r="1005" spans="189:204" x14ac:dyDescent="0.2">
      <c r="GG1005" s="223">
        <v>28</v>
      </c>
      <c r="GH1005" s="223">
        <v>4</v>
      </c>
      <c r="GL1005" s="223">
        <v>19</v>
      </c>
      <c r="GM1005" s="223" t="s">
        <v>154</v>
      </c>
      <c r="GN1005" s="223">
        <v>0</v>
      </c>
      <c r="GO1005" s="223">
        <v>0</v>
      </c>
      <c r="GP1005" s="223">
        <v>0</v>
      </c>
      <c r="GQ1005" s="223">
        <v>0</v>
      </c>
      <c r="GR1005" s="223">
        <v>0</v>
      </c>
      <c r="GS1005" s="223">
        <v>0</v>
      </c>
      <c r="GT1005" s="223">
        <v>12</v>
      </c>
      <c r="GU1005" s="223">
        <v>17</v>
      </c>
      <c r="GV1005" s="223" t="b">
        <v>1</v>
      </c>
    </row>
    <row r="1006" spans="189:204" x14ac:dyDescent="0.2">
      <c r="GG1006" s="223">
        <v>0</v>
      </c>
      <c r="GH1006" s="223">
        <v>5</v>
      </c>
      <c r="GL1006" s="223">
        <v>15</v>
      </c>
      <c r="GM1006" s="223" t="s">
        <v>154</v>
      </c>
      <c r="GN1006" s="223">
        <v>0</v>
      </c>
      <c r="GO1006" s="223">
        <v>0</v>
      </c>
      <c r="GP1006" s="223">
        <v>0</v>
      </c>
      <c r="GQ1006" s="223">
        <v>0</v>
      </c>
      <c r="GR1006" s="223">
        <v>0</v>
      </c>
      <c r="GS1006" s="223">
        <v>0</v>
      </c>
      <c r="GT1006" s="223">
        <v>82</v>
      </c>
      <c r="GU1006" s="223">
        <v>13</v>
      </c>
      <c r="GV1006" s="223" t="b">
        <v>1</v>
      </c>
    </row>
    <row r="1007" spans="189:204" x14ac:dyDescent="0.2">
      <c r="GG1007" s="223">
        <v>0</v>
      </c>
      <c r="GH1007" s="223">
        <v>6</v>
      </c>
      <c r="GL1007" s="223">
        <v>15</v>
      </c>
      <c r="GM1007" s="223" t="s">
        <v>154</v>
      </c>
      <c r="GN1007" s="223">
        <v>0</v>
      </c>
      <c r="GO1007" s="223">
        <v>0</v>
      </c>
      <c r="GP1007" s="223">
        <v>0</v>
      </c>
      <c r="GQ1007" s="223">
        <v>0</v>
      </c>
      <c r="GR1007" s="223">
        <v>0</v>
      </c>
      <c r="GS1007" s="223">
        <v>0</v>
      </c>
      <c r="GT1007" s="223">
        <v>77</v>
      </c>
      <c r="GU1007" s="223">
        <v>13</v>
      </c>
      <c r="GV1007" s="223" t="b">
        <v>1</v>
      </c>
    </row>
    <row r="1008" spans="189:204" x14ac:dyDescent="0.2">
      <c r="GG1008" s="223">
        <v>29</v>
      </c>
      <c r="GH1008" s="223">
        <v>7</v>
      </c>
      <c r="GL1008" s="223">
        <v>19</v>
      </c>
      <c r="GM1008" s="223" t="s">
        <v>155</v>
      </c>
      <c r="GN1008" s="223">
        <v>2</v>
      </c>
      <c r="GO1008" s="223">
        <v>2</v>
      </c>
      <c r="GP1008" s="223">
        <v>1</v>
      </c>
      <c r="GQ1008" s="223">
        <v>0</v>
      </c>
      <c r="GR1008" s="223">
        <v>0</v>
      </c>
      <c r="GS1008" s="223">
        <v>0</v>
      </c>
      <c r="GT1008" s="223">
        <v>4</v>
      </c>
      <c r="GU1008" s="223">
        <v>17</v>
      </c>
      <c r="GV1008" s="223" t="b">
        <v>1</v>
      </c>
    </row>
    <row r="1009" spans="189:204" x14ac:dyDescent="0.2">
      <c r="GG1009" s="223">
        <v>0</v>
      </c>
      <c r="GH1009" s="223">
        <v>8</v>
      </c>
      <c r="GK1009" s="223">
        <v>0</v>
      </c>
      <c r="GL1009" s="223">
        <v>0</v>
      </c>
      <c r="GM1009" s="223" t="s">
        <v>155</v>
      </c>
      <c r="GN1009" s="223">
        <v>2</v>
      </c>
      <c r="GO1009" s="223">
        <v>16</v>
      </c>
      <c r="GP1009" s="223">
        <v>15</v>
      </c>
      <c r="GQ1009" s="223">
        <v>0</v>
      </c>
      <c r="GR1009" s="223">
        <v>0</v>
      </c>
      <c r="GS1009" s="223">
        <v>0</v>
      </c>
      <c r="GT1009" s="223">
        <v>71</v>
      </c>
      <c r="GU1009" s="223">
        <v>5</v>
      </c>
      <c r="GV1009" s="223" t="b">
        <v>1</v>
      </c>
    </row>
    <row r="1010" spans="189:204" x14ac:dyDescent="0.2">
      <c r="GG1010" s="223">
        <v>0</v>
      </c>
      <c r="GH1010" s="223">
        <v>9</v>
      </c>
      <c r="GL1010" s="223">
        <v>13</v>
      </c>
      <c r="GM1010" s="223" t="s">
        <v>154</v>
      </c>
      <c r="GN1010" s="223">
        <v>0</v>
      </c>
      <c r="GO1010" s="223">
        <v>0</v>
      </c>
      <c r="GP1010" s="223">
        <v>0</v>
      </c>
      <c r="GQ1010" s="223">
        <v>0</v>
      </c>
      <c r="GR1010" s="223">
        <v>0</v>
      </c>
      <c r="GS1010" s="223">
        <v>0</v>
      </c>
      <c r="GT1010" s="223">
        <v>72</v>
      </c>
      <c r="GU1010" s="223">
        <v>17</v>
      </c>
      <c r="GV1010" s="223" t="b">
        <v>1</v>
      </c>
    </row>
    <row r="1011" spans="189:204" x14ac:dyDescent="0.2">
      <c r="GG1011" s="223">
        <v>0</v>
      </c>
      <c r="GH1011" s="223">
        <v>10</v>
      </c>
      <c r="GL1011" s="223">
        <v>13</v>
      </c>
      <c r="GM1011" s="223" t="s">
        <v>154</v>
      </c>
      <c r="GN1011" s="223">
        <v>0</v>
      </c>
      <c r="GO1011" s="223">
        <v>0</v>
      </c>
      <c r="GP1011" s="223">
        <v>0</v>
      </c>
      <c r="GQ1011" s="223">
        <v>0</v>
      </c>
      <c r="GR1011" s="223">
        <v>0</v>
      </c>
      <c r="GS1011" s="223">
        <v>0</v>
      </c>
      <c r="GT1011" s="223">
        <v>67</v>
      </c>
      <c r="GU1011" s="223">
        <v>17</v>
      </c>
      <c r="GV1011" s="223" t="b">
        <v>1</v>
      </c>
    </row>
    <row r="1012" spans="189:204" x14ac:dyDescent="0.2">
      <c r="GG1012" s="223">
        <v>0</v>
      </c>
      <c r="GH1012" s="223">
        <v>11</v>
      </c>
      <c r="GL1012" s="223">
        <v>14</v>
      </c>
      <c r="GM1012" s="223" t="s">
        <v>154</v>
      </c>
      <c r="GN1012" s="223">
        <v>0</v>
      </c>
      <c r="GO1012" s="223">
        <v>0</v>
      </c>
      <c r="GP1012" s="223">
        <v>0</v>
      </c>
      <c r="GQ1012" s="223">
        <v>0</v>
      </c>
      <c r="GR1012" s="223">
        <v>0</v>
      </c>
      <c r="GS1012" s="223">
        <v>0</v>
      </c>
      <c r="GT1012" s="223">
        <v>62</v>
      </c>
      <c r="GU1012" s="223">
        <v>17</v>
      </c>
      <c r="GV1012" s="223" t="b">
        <v>1</v>
      </c>
    </row>
    <row r="1013" spans="189:204" x14ac:dyDescent="0.2">
      <c r="GG1013" s="223">
        <v>0</v>
      </c>
      <c r="GH1013" s="223">
        <v>12</v>
      </c>
      <c r="GL1013" s="223">
        <v>14</v>
      </c>
      <c r="GM1013" s="223" t="s">
        <v>155</v>
      </c>
      <c r="GN1013" s="223">
        <v>2</v>
      </c>
      <c r="GO1013" s="223">
        <v>23</v>
      </c>
      <c r="GP1013" s="223">
        <v>20</v>
      </c>
      <c r="GQ1013" s="223">
        <v>0</v>
      </c>
      <c r="GR1013" s="223">
        <v>0</v>
      </c>
      <c r="GS1013" s="223">
        <v>0</v>
      </c>
      <c r="GT1013" s="223">
        <v>54</v>
      </c>
      <c r="GU1013" s="223">
        <v>17</v>
      </c>
      <c r="GV1013" s="223" t="b">
        <v>1</v>
      </c>
    </row>
    <row r="1014" spans="189:204" x14ac:dyDescent="0.2">
      <c r="GG1014" s="223">
        <v>0</v>
      </c>
      <c r="GH1014" s="223">
        <v>13</v>
      </c>
      <c r="GK1014" s="223">
        <v>0</v>
      </c>
      <c r="GL1014" s="223">
        <v>16</v>
      </c>
      <c r="GM1014" s="223" t="s">
        <v>155</v>
      </c>
      <c r="GN1014" s="223">
        <v>2</v>
      </c>
      <c r="GO1014" s="223">
        <v>10</v>
      </c>
      <c r="GP1014" s="223">
        <v>9</v>
      </c>
      <c r="GQ1014" s="223">
        <v>0</v>
      </c>
      <c r="GR1014" s="223">
        <v>0</v>
      </c>
      <c r="GS1014" s="223">
        <v>0</v>
      </c>
      <c r="GT1014" s="223">
        <v>69</v>
      </c>
      <c r="GU1014" s="223">
        <v>13</v>
      </c>
      <c r="GV1014" s="223" t="b">
        <v>1</v>
      </c>
    </row>
    <row r="1015" spans="189:204" x14ac:dyDescent="0.2">
      <c r="GG1015" s="223">
        <v>0</v>
      </c>
      <c r="GH1015" s="223">
        <v>14</v>
      </c>
      <c r="GK1015" s="223">
        <v>0</v>
      </c>
      <c r="GL1015" s="223">
        <v>16</v>
      </c>
      <c r="GM1015" s="223" t="s">
        <v>155</v>
      </c>
      <c r="GN1015" s="223">
        <v>2</v>
      </c>
      <c r="GO1015" s="223">
        <v>12</v>
      </c>
      <c r="GP1015" s="223">
        <v>11</v>
      </c>
      <c r="GQ1015" s="223">
        <v>0</v>
      </c>
      <c r="GR1015" s="223">
        <v>0</v>
      </c>
      <c r="GS1015" s="223">
        <v>0</v>
      </c>
      <c r="GT1015" s="223">
        <v>58</v>
      </c>
      <c r="GU1015" s="223">
        <v>13</v>
      </c>
      <c r="GV1015" s="223" t="b">
        <v>1</v>
      </c>
    </row>
    <row r="1016" spans="189:204" x14ac:dyDescent="0.2">
      <c r="GG1016" s="223">
        <v>0</v>
      </c>
      <c r="GH1016" s="223">
        <v>15</v>
      </c>
      <c r="GL1016" s="223">
        <v>8</v>
      </c>
      <c r="GM1016" s="223" t="s">
        <v>155</v>
      </c>
      <c r="GN1016" s="223">
        <v>2</v>
      </c>
      <c r="GO1016" s="223">
        <v>6</v>
      </c>
      <c r="GP1016" s="223">
        <v>5</v>
      </c>
      <c r="GQ1016" s="223">
        <v>0</v>
      </c>
      <c r="GR1016" s="223">
        <v>0</v>
      </c>
      <c r="GS1016" s="223">
        <v>0</v>
      </c>
      <c r="GT1016" s="223">
        <v>79</v>
      </c>
      <c r="GU1016" s="223">
        <v>9</v>
      </c>
      <c r="GV1016" s="223" t="b">
        <v>1</v>
      </c>
    </row>
    <row r="1017" spans="189:204" x14ac:dyDescent="0.2">
      <c r="GG1017" s="223">
        <v>0</v>
      </c>
      <c r="GH1017" s="223">
        <v>16</v>
      </c>
      <c r="GL1017" s="223">
        <v>8</v>
      </c>
      <c r="GM1017" s="223" t="s">
        <v>153</v>
      </c>
      <c r="GN1017" s="223">
        <v>2</v>
      </c>
      <c r="GO1017" s="223">
        <v>14</v>
      </c>
      <c r="GP1017" s="223">
        <v>13</v>
      </c>
      <c r="GQ1017" s="223">
        <v>0</v>
      </c>
      <c r="GR1017" s="223">
        <v>0</v>
      </c>
      <c r="GS1017" s="223">
        <v>0</v>
      </c>
      <c r="GT1017" s="223">
        <v>63</v>
      </c>
      <c r="GU1017" s="223">
        <v>9</v>
      </c>
      <c r="GV1017" s="223" t="b">
        <v>1</v>
      </c>
    </row>
    <row r="1018" spans="189:204" x14ac:dyDescent="0.2">
      <c r="GG1018" s="223">
        <v>0</v>
      </c>
      <c r="GH1018" s="223">
        <v>17</v>
      </c>
      <c r="GK1018" s="223">
        <v>0</v>
      </c>
      <c r="GL1018" s="223">
        <v>0</v>
      </c>
      <c r="GM1018" s="223" t="s">
        <v>155</v>
      </c>
      <c r="GN1018" s="223">
        <v>2</v>
      </c>
      <c r="GO1018" s="223">
        <v>21</v>
      </c>
      <c r="GP1018" s="223">
        <v>24</v>
      </c>
      <c r="GQ1018" s="223">
        <v>0</v>
      </c>
      <c r="GR1018" s="223">
        <v>0</v>
      </c>
      <c r="GS1018" s="223">
        <v>0</v>
      </c>
      <c r="GT1018" s="223">
        <v>25</v>
      </c>
      <c r="GU1018" s="223">
        <v>5</v>
      </c>
      <c r="GV1018" s="223" t="b">
        <v>1</v>
      </c>
    </row>
    <row r="1019" spans="189:204" x14ac:dyDescent="0.2">
      <c r="GG1019" s="223">
        <v>30</v>
      </c>
      <c r="GH1019" s="223">
        <v>18</v>
      </c>
      <c r="GL1019" s="223">
        <v>22</v>
      </c>
      <c r="GM1019" s="223" t="s">
        <v>154</v>
      </c>
      <c r="GN1019" s="223">
        <v>0</v>
      </c>
      <c r="GO1019" s="223">
        <v>0</v>
      </c>
      <c r="GP1019" s="223">
        <v>0</v>
      </c>
      <c r="GQ1019" s="223">
        <v>0</v>
      </c>
      <c r="GR1019" s="223">
        <v>0</v>
      </c>
      <c r="GS1019" s="223">
        <v>0</v>
      </c>
      <c r="GT1019" s="223">
        <v>22</v>
      </c>
      <c r="GU1019" s="223">
        <v>17</v>
      </c>
      <c r="GV1019" s="223" t="b">
        <v>1</v>
      </c>
    </row>
    <row r="1020" spans="189:204" x14ac:dyDescent="0.2">
      <c r="GG1020" s="223">
        <v>31</v>
      </c>
      <c r="GH1020" s="223">
        <v>19</v>
      </c>
      <c r="GK1020" s="223">
        <v>0</v>
      </c>
      <c r="GL1020" s="223">
        <v>21</v>
      </c>
      <c r="GM1020" s="223" t="s">
        <v>155</v>
      </c>
      <c r="GN1020" s="223">
        <v>2</v>
      </c>
      <c r="GO1020" s="223">
        <v>7</v>
      </c>
      <c r="GP1020" s="223">
        <v>4</v>
      </c>
      <c r="GQ1020" s="223">
        <v>0</v>
      </c>
      <c r="GR1020" s="223">
        <v>0</v>
      </c>
      <c r="GS1020" s="223">
        <v>0</v>
      </c>
      <c r="GT1020" s="223">
        <v>8</v>
      </c>
      <c r="GU1020" s="223">
        <v>13</v>
      </c>
      <c r="GV1020" s="223" t="b">
        <v>1</v>
      </c>
    </row>
    <row r="1021" spans="189:204" x14ac:dyDescent="0.2">
      <c r="GG1021" s="223">
        <v>0</v>
      </c>
      <c r="GH1021" s="223">
        <v>20</v>
      </c>
      <c r="GL1021" s="223">
        <v>12</v>
      </c>
      <c r="GM1021" s="223" t="s">
        <v>154</v>
      </c>
      <c r="GN1021" s="223">
        <v>0</v>
      </c>
      <c r="GO1021" s="223">
        <v>0</v>
      </c>
      <c r="GP1021" s="223">
        <v>0</v>
      </c>
      <c r="GQ1021" s="223">
        <v>0</v>
      </c>
      <c r="GR1021" s="223">
        <v>0</v>
      </c>
      <c r="GS1021" s="223">
        <v>0</v>
      </c>
      <c r="GT1021" s="223">
        <v>57</v>
      </c>
      <c r="GU1021" s="223">
        <v>21</v>
      </c>
      <c r="GV1021" s="223" t="b">
        <v>1</v>
      </c>
    </row>
    <row r="1022" spans="189:204" x14ac:dyDescent="0.2">
      <c r="GG1022" s="223">
        <v>24</v>
      </c>
      <c r="GH1022" s="223">
        <v>21</v>
      </c>
      <c r="GL1022" s="223">
        <v>17</v>
      </c>
      <c r="GM1022" s="223" t="s">
        <v>153</v>
      </c>
      <c r="GN1022" s="223">
        <v>2</v>
      </c>
      <c r="GO1022" s="223">
        <v>19</v>
      </c>
      <c r="GP1022" s="223">
        <v>22</v>
      </c>
      <c r="GQ1022" s="223">
        <v>0</v>
      </c>
      <c r="GR1022" s="223">
        <v>0</v>
      </c>
      <c r="GS1022" s="223">
        <v>0</v>
      </c>
      <c r="GT1022" s="223">
        <v>13</v>
      </c>
      <c r="GU1022" s="223">
        <v>9</v>
      </c>
      <c r="GV1022" s="223" t="b">
        <v>1</v>
      </c>
    </row>
    <row r="1023" spans="189:204" x14ac:dyDescent="0.2">
      <c r="GG1023" s="223">
        <v>32</v>
      </c>
      <c r="GH1023" s="223">
        <v>22</v>
      </c>
      <c r="GK1023" s="223">
        <v>0</v>
      </c>
      <c r="GL1023" s="223">
        <v>21</v>
      </c>
      <c r="GM1023" s="223" t="s">
        <v>155</v>
      </c>
      <c r="GN1023" s="223">
        <v>2</v>
      </c>
      <c r="GO1023" s="223">
        <v>3</v>
      </c>
      <c r="GP1023" s="223">
        <v>18</v>
      </c>
      <c r="GQ1023" s="223">
        <v>0</v>
      </c>
      <c r="GR1023" s="223">
        <v>0</v>
      </c>
      <c r="GS1023" s="223">
        <v>0</v>
      </c>
      <c r="GT1023" s="223">
        <v>19</v>
      </c>
      <c r="GU1023" s="223">
        <v>13</v>
      </c>
      <c r="GV1023" s="223" t="b">
        <v>1</v>
      </c>
    </row>
    <row r="1024" spans="189:204" x14ac:dyDescent="0.2">
      <c r="GG1024" s="223">
        <v>0</v>
      </c>
      <c r="GH1024" s="223">
        <v>23</v>
      </c>
      <c r="GL1024" s="223">
        <v>12</v>
      </c>
      <c r="GM1024" s="223" t="s">
        <v>154</v>
      </c>
      <c r="GN1024" s="223">
        <v>0</v>
      </c>
      <c r="GO1024" s="223">
        <v>0</v>
      </c>
      <c r="GP1024" s="223">
        <v>0</v>
      </c>
      <c r="GQ1024" s="223">
        <v>0</v>
      </c>
      <c r="GR1024" s="223">
        <v>0</v>
      </c>
      <c r="GS1024" s="223">
        <v>0</v>
      </c>
      <c r="GT1024" s="223">
        <v>52</v>
      </c>
      <c r="GU1024" s="223">
        <v>21</v>
      </c>
      <c r="GV1024" s="223" t="b">
        <v>1</v>
      </c>
    </row>
    <row r="1025" spans="189:204" x14ac:dyDescent="0.2">
      <c r="GG1025" s="223">
        <v>0</v>
      </c>
      <c r="GH1025" s="223">
        <v>24</v>
      </c>
      <c r="GL1025" s="223">
        <v>17</v>
      </c>
      <c r="GM1025" s="223" t="s">
        <v>153</v>
      </c>
      <c r="GN1025" s="223">
        <v>2</v>
      </c>
      <c r="GO1025" s="223">
        <v>31</v>
      </c>
      <c r="GP1025" s="223">
        <v>32</v>
      </c>
      <c r="GQ1025" s="223">
        <v>0</v>
      </c>
      <c r="GR1025" s="223">
        <v>0</v>
      </c>
      <c r="GS1025" s="223">
        <v>0</v>
      </c>
      <c r="GT1025" s="223">
        <v>38</v>
      </c>
      <c r="GU1025" s="223">
        <v>9</v>
      </c>
      <c r="GV1025" s="223" t="b">
        <v>1</v>
      </c>
    </row>
    <row r="1026" spans="189:204" x14ac:dyDescent="0.2">
      <c r="GH1026" s="223">
        <v>25</v>
      </c>
      <c r="GL1026" s="223">
        <v>29</v>
      </c>
      <c r="GM1026" s="233" t="s">
        <v>154</v>
      </c>
      <c r="GN1026" s="233">
        <v>0</v>
      </c>
      <c r="GO1026" s="223">
        <v>0</v>
      </c>
      <c r="GP1026" s="223">
        <v>0</v>
      </c>
      <c r="GQ1026" s="223">
        <v>0</v>
      </c>
      <c r="GR1026" s="223">
        <v>0</v>
      </c>
      <c r="GS1026" s="223">
        <v>0</v>
      </c>
      <c r="GT1026" s="223">
        <v>32</v>
      </c>
      <c r="GU1026" s="223">
        <v>21</v>
      </c>
      <c r="GV1026" s="223" t="b">
        <v>1</v>
      </c>
    </row>
    <row r="1027" spans="189:204" x14ac:dyDescent="0.2">
      <c r="GH1027" s="223">
        <v>26</v>
      </c>
      <c r="GL1027" s="223">
        <v>29</v>
      </c>
      <c r="GM1027" s="233" t="s">
        <v>154</v>
      </c>
      <c r="GN1027" s="233">
        <v>0</v>
      </c>
      <c r="GO1027" s="223">
        <v>0</v>
      </c>
      <c r="GP1027" s="223">
        <v>0</v>
      </c>
      <c r="GQ1027" s="223">
        <v>0</v>
      </c>
      <c r="GR1027" s="223">
        <v>0</v>
      </c>
      <c r="GS1027" s="223">
        <v>0</v>
      </c>
      <c r="GT1027" s="223">
        <v>27</v>
      </c>
      <c r="GU1027" s="223">
        <v>21</v>
      </c>
      <c r="GV1027" s="223" t="b">
        <v>1</v>
      </c>
    </row>
    <row r="1028" spans="189:204" x14ac:dyDescent="0.2">
      <c r="GH1028" s="223">
        <v>27</v>
      </c>
      <c r="GL1028" s="223">
        <v>32</v>
      </c>
      <c r="GM1028" s="223" t="s">
        <v>154</v>
      </c>
      <c r="GN1028" s="223">
        <v>0</v>
      </c>
      <c r="GO1028" s="223">
        <v>0</v>
      </c>
      <c r="GP1028" s="223">
        <v>0</v>
      </c>
      <c r="GQ1028" s="223">
        <v>0</v>
      </c>
      <c r="GR1028" s="223">
        <v>0</v>
      </c>
      <c r="GS1028" s="223">
        <v>0</v>
      </c>
      <c r="GT1028" s="223">
        <v>42</v>
      </c>
      <c r="GU1028" s="223">
        <v>17</v>
      </c>
      <c r="GV1028" s="223" t="b">
        <v>1</v>
      </c>
    </row>
    <row r="1029" spans="189:204" x14ac:dyDescent="0.2">
      <c r="GH1029" s="223">
        <v>28</v>
      </c>
      <c r="GL1029" s="223">
        <v>31</v>
      </c>
      <c r="GM1029" s="223" t="s">
        <v>154</v>
      </c>
      <c r="GN1029" s="223">
        <v>0</v>
      </c>
      <c r="GO1029" s="223">
        <v>0</v>
      </c>
      <c r="GP1029" s="223">
        <v>0</v>
      </c>
      <c r="GQ1029" s="223">
        <v>0</v>
      </c>
      <c r="GR1029" s="223">
        <v>0</v>
      </c>
      <c r="GS1029" s="223">
        <v>0</v>
      </c>
      <c r="GT1029" s="223">
        <v>37</v>
      </c>
      <c r="GU1029" s="223">
        <v>17</v>
      </c>
      <c r="GV1029" s="223" t="b">
        <v>1</v>
      </c>
    </row>
    <row r="1030" spans="189:204" x14ac:dyDescent="0.2">
      <c r="GH1030" s="223">
        <v>29</v>
      </c>
      <c r="GL1030" s="223">
        <v>31</v>
      </c>
      <c r="GM1030" s="223" t="s">
        <v>155</v>
      </c>
      <c r="GN1030" s="223">
        <v>2</v>
      </c>
      <c r="GO1030" s="223">
        <v>26</v>
      </c>
      <c r="GP1030" s="223">
        <v>25</v>
      </c>
      <c r="GQ1030" s="223">
        <v>0</v>
      </c>
      <c r="GR1030" s="223">
        <v>0</v>
      </c>
      <c r="GS1030" s="223">
        <v>0</v>
      </c>
      <c r="GT1030" s="223">
        <v>29</v>
      </c>
      <c r="GU1030" s="223">
        <v>17</v>
      </c>
      <c r="GV1030" s="223" t="b">
        <v>1</v>
      </c>
    </row>
    <row r="1031" spans="189:204" x14ac:dyDescent="0.2">
      <c r="GH1031" s="223">
        <v>30</v>
      </c>
      <c r="GL1031" s="223">
        <v>32</v>
      </c>
      <c r="GM1031" s="223" t="s">
        <v>154</v>
      </c>
      <c r="GN1031" s="223">
        <v>0</v>
      </c>
      <c r="GO1031" s="223">
        <v>0</v>
      </c>
      <c r="GP1031" s="223">
        <v>0</v>
      </c>
      <c r="GQ1031" s="223">
        <v>0</v>
      </c>
      <c r="GR1031" s="223">
        <v>0</v>
      </c>
      <c r="GS1031" s="223">
        <v>0</v>
      </c>
      <c r="GT1031" s="223">
        <v>47</v>
      </c>
      <c r="GU1031" s="223">
        <v>17</v>
      </c>
      <c r="GV1031" s="223" t="b">
        <v>1</v>
      </c>
    </row>
    <row r="1032" spans="189:204" x14ac:dyDescent="0.2">
      <c r="GH1032" s="223">
        <v>31</v>
      </c>
      <c r="GK1032" s="223">
        <v>0</v>
      </c>
      <c r="GL1032" s="223">
        <v>24</v>
      </c>
      <c r="GM1032" s="223" t="s">
        <v>155</v>
      </c>
      <c r="GN1032" s="223">
        <v>2</v>
      </c>
      <c r="GO1032" s="223">
        <v>29</v>
      </c>
      <c r="GP1032" s="223">
        <v>28</v>
      </c>
      <c r="GQ1032" s="223">
        <v>0</v>
      </c>
      <c r="GR1032" s="223">
        <v>0</v>
      </c>
      <c r="GS1032" s="223">
        <v>0</v>
      </c>
      <c r="GT1032" s="223">
        <v>33</v>
      </c>
      <c r="GU1032" s="223">
        <v>13</v>
      </c>
      <c r="GV1032" s="223" t="b">
        <v>1</v>
      </c>
    </row>
    <row r="1033" spans="189:204" x14ac:dyDescent="0.2">
      <c r="GH1033" s="223">
        <v>32</v>
      </c>
      <c r="GK1033" s="223">
        <v>0</v>
      </c>
      <c r="GL1033" s="223">
        <v>24</v>
      </c>
      <c r="GM1033" s="223" t="s">
        <v>155</v>
      </c>
      <c r="GN1033" s="223">
        <v>2</v>
      </c>
      <c r="GO1033" s="223">
        <v>27</v>
      </c>
      <c r="GP1033" s="223">
        <v>30</v>
      </c>
      <c r="GQ1033" s="223">
        <v>0</v>
      </c>
      <c r="GR1033" s="223">
        <v>0</v>
      </c>
      <c r="GS1033" s="223">
        <v>0</v>
      </c>
      <c r="GT1033" s="223">
        <v>44</v>
      </c>
      <c r="GU1033" s="223">
        <v>13</v>
      </c>
      <c r="GV1033" s="223" t="b">
        <v>1</v>
      </c>
    </row>
  </sheetData>
  <sheetProtection scenarios="1"/>
  <pageMargins left="0.7" right="0.7" top="0.75" bottom="0.75" header="0.3" footer="0.3"/>
  <pageSetup orientation="portrait" r:id="rId1"/>
  <headerFooter>
    <oddHeader>&amp;L&amp;EFor Evaluation Only</oddHeader>
    <oddFooter>&amp;L&amp;ETreePlan Trial, For Evaluation Only&amp;Z&amp;Ewww.TreePlan.com</oddFooter>
  </headerFooter>
  <ignoredErrors>
    <ignoredError sqref="W3:W13 W38" emptyCellReference="1"/>
  </ignoredError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3"/>
  <sheetViews>
    <sheetView showGridLines="0" topLeftCell="A25" zoomScaleNormal="100" workbookViewId="0">
      <selection activeCell="C44" sqref="C44"/>
    </sheetView>
  </sheetViews>
  <sheetFormatPr baseColWidth="10" defaultRowHeight="12.75" x14ac:dyDescent="0.2"/>
  <cols>
    <col min="1" max="1" width="18" style="205" customWidth="1"/>
    <col min="2" max="2" width="7" style="205" bestFit="1" customWidth="1"/>
    <col min="3" max="3" width="13.625" style="205" customWidth="1"/>
    <col min="4" max="4" width="14.75" style="205" customWidth="1"/>
    <col min="5" max="5" width="12.625" style="205" customWidth="1"/>
    <col min="6" max="7" width="10.625" style="205" customWidth="1"/>
    <col min="8" max="9" width="12.375" style="205" customWidth="1"/>
    <col min="10" max="11" width="11" style="205"/>
    <col min="12" max="12" width="12.625" style="205" customWidth="1"/>
    <col min="13" max="14" width="11" style="205"/>
    <col min="15" max="15" width="14.5" style="205" customWidth="1"/>
    <col min="16" max="17" width="11" style="205"/>
    <col min="18" max="18" width="14.875" style="205" customWidth="1"/>
    <col min="19" max="19" width="5.5" style="205" customWidth="1"/>
    <col min="20" max="21" width="11" style="205"/>
    <col min="22" max="22" width="12.625" style="205" bestFit="1" customWidth="1"/>
    <col min="23" max="16384" width="11" style="205"/>
  </cols>
  <sheetData>
    <row r="1" spans="1:19" x14ac:dyDescent="0.2">
      <c r="A1" s="163" t="s">
        <v>235</v>
      </c>
      <c r="B1" s="163"/>
    </row>
    <row r="2" spans="1:19" x14ac:dyDescent="0.2">
      <c r="A2" s="163"/>
      <c r="B2" s="163"/>
    </row>
    <row r="3" spans="1:19" ht="13.5" thickBot="1" x14ac:dyDescent="0.25">
      <c r="A3" s="184" t="s">
        <v>241</v>
      </c>
      <c r="B3" s="163"/>
    </row>
    <row r="4" spans="1:19" ht="7.5" customHeight="1" thickTop="1" x14ac:dyDescent="0.2">
      <c r="A4" s="163"/>
      <c r="B4" s="163"/>
    </row>
    <row r="5" spans="1:19" x14ac:dyDescent="0.2">
      <c r="A5" s="182" t="s">
        <v>177</v>
      </c>
      <c r="B5" s="164"/>
    </row>
    <row r="6" spans="1:19" x14ac:dyDescent="0.2">
      <c r="A6" s="181" t="s">
        <v>194</v>
      </c>
      <c r="B6" s="177">
        <v>35000</v>
      </c>
    </row>
    <row r="7" spans="1:19" x14ac:dyDescent="0.2">
      <c r="A7" s="181"/>
      <c r="B7" s="285"/>
    </row>
    <row r="8" spans="1:19" x14ac:dyDescent="0.2">
      <c r="A8" s="181"/>
      <c r="B8" s="177"/>
    </row>
    <row r="9" spans="1:19" x14ac:dyDescent="0.2">
      <c r="A9" s="181"/>
      <c r="B9" s="177"/>
    </row>
    <row r="10" spans="1:19" x14ac:dyDescent="0.2">
      <c r="A10" s="181"/>
      <c r="B10" s="285"/>
    </row>
    <row r="11" spans="1:19" x14ac:dyDescent="0.2">
      <c r="A11" s="183" t="s">
        <v>239</v>
      </c>
      <c r="B11" s="175">
        <f>+Análisis!B10</f>
        <v>3</v>
      </c>
    </row>
    <row r="13" spans="1:19" x14ac:dyDescent="0.2">
      <c r="A13" s="181" t="s">
        <v>237</v>
      </c>
      <c r="B13" s="176">
        <v>17</v>
      </c>
    </row>
    <row r="14" spans="1:19" x14ac:dyDescent="0.2">
      <c r="A14" s="181" t="s">
        <v>286</v>
      </c>
      <c r="B14" s="176">
        <f>+'Costo Importar'!K11</f>
        <v>68</v>
      </c>
    </row>
    <row r="15" spans="1:19" x14ac:dyDescent="0.2">
      <c r="A15" s="165"/>
      <c r="B15" s="172"/>
    </row>
    <row r="16" spans="1:19" ht="23.25" customHeight="1" x14ac:dyDescent="0.2">
      <c r="A16" s="163"/>
      <c r="B16" s="163"/>
      <c r="C16" s="503" t="s">
        <v>294</v>
      </c>
      <c r="D16" s="503" t="s">
        <v>295</v>
      </c>
      <c r="E16" s="503" t="s">
        <v>296</v>
      </c>
      <c r="F16" s="177"/>
      <c r="G16" s="503" t="s">
        <v>187</v>
      </c>
      <c r="H16" s="503" t="s">
        <v>242</v>
      </c>
      <c r="I16" s="503" t="s">
        <v>162</v>
      </c>
      <c r="L16" s="504" t="s">
        <v>255</v>
      </c>
      <c r="M16" s="498" t="s">
        <v>256</v>
      </c>
      <c r="N16" s="499"/>
      <c r="O16" s="504" t="s">
        <v>254</v>
      </c>
      <c r="Q16" s="503" t="s">
        <v>242</v>
      </c>
      <c r="R16" s="498" t="s">
        <v>258</v>
      </c>
      <c r="S16" s="499"/>
    </row>
    <row r="17" spans="1:22" ht="27" customHeight="1" x14ac:dyDescent="0.2">
      <c r="A17" s="165"/>
      <c r="B17" s="163"/>
      <c r="C17" s="503"/>
      <c r="D17" s="503"/>
      <c r="E17" s="503"/>
      <c r="F17" s="177"/>
      <c r="G17" s="503"/>
      <c r="H17" s="503"/>
      <c r="I17" s="503"/>
      <c r="L17" s="515"/>
      <c r="M17" s="259" t="s">
        <v>285</v>
      </c>
      <c r="N17" s="259" t="s">
        <v>262</v>
      </c>
      <c r="O17" s="516"/>
      <c r="P17" s="253" t="s">
        <v>100</v>
      </c>
      <c r="Q17" s="503"/>
      <c r="R17" s="512"/>
      <c r="S17" s="513"/>
      <c r="T17" s="260" t="s">
        <v>100</v>
      </c>
      <c r="U17" s="250" t="s">
        <v>162</v>
      </c>
      <c r="V17" s="250" t="s">
        <v>259</v>
      </c>
    </row>
    <row r="18" spans="1:22" ht="19.5" customHeight="1" x14ac:dyDescent="0.2">
      <c r="A18" s="519" t="s">
        <v>192</v>
      </c>
      <c r="B18" s="520"/>
      <c r="C18" s="185">
        <v>3850</v>
      </c>
      <c r="D18" s="286">
        <v>18.75</v>
      </c>
      <c r="E18" s="185">
        <v>55</v>
      </c>
      <c r="F18" s="177"/>
      <c r="G18" s="185">
        <f>+C18*B6/1000+D18*B6/100</f>
        <v>141312.5</v>
      </c>
      <c r="H18" s="186">
        <f>+E18*B6/100</f>
        <v>19250</v>
      </c>
      <c r="I18" s="185">
        <f>+U19</f>
        <v>59500</v>
      </c>
      <c r="L18" s="488" t="s">
        <v>290</v>
      </c>
      <c r="M18" s="488" t="s">
        <v>291</v>
      </c>
      <c r="N18" s="491">
        <f>+G18</f>
        <v>141312.5</v>
      </c>
      <c r="O18" s="482" t="s">
        <v>292</v>
      </c>
      <c r="P18" s="484">
        <f>+B6</f>
        <v>35000</v>
      </c>
      <c r="Q18" s="484" t="s">
        <v>66</v>
      </c>
      <c r="R18" s="248" t="s">
        <v>122</v>
      </c>
      <c r="S18" s="254">
        <v>1</v>
      </c>
      <c r="T18" s="273">
        <f>+S18*P18</f>
        <v>35000</v>
      </c>
      <c r="U18" s="257" t="s">
        <v>66</v>
      </c>
      <c r="V18" s="255">
        <f>+T18*B14</f>
        <v>2380000</v>
      </c>
    </row>
    <row r="19" spans="1:22" x14ac:dyDescent="0.2">
      <c r="L19" s="517"/>
      <c r="M19" s="489"/>
      <c r="N19" s="492"/>
      <c r="O19" s="483"/>
      <c r="P19" s="485"/>
      <c r="Q19" s="485"/>
      <c r="R19" s="251" t="s">
        <v>124</v>
      </c>
      <c r="S19" s="275">
        <v>0.1</v>
      </c>
      <c r="T19" s="276">
        <f>+S19*P18</f>
        <v>3500</v>
      </c>
      <c r="U19" s="277">
        <f>+T19*B13</f>
        <v>59500</v>
      </c>
      <c r="V19" s="256">
        <f>+(T18-T19)*B14</f>
        <v>2142000</v>
      </c>
    </row>
    <row r="20" spans="1:22" x14ac:dyDescent="0.2">
      <c r="L20" s="517"/>
      <c r="M20" s="489"/>
      <c r="N20" s="492"/>
      <c r="O20" s="261" t="s">
        <v>299</v>
      </c>
      <c r="P20" s="262">
        <f>+P18</f>
        <v>35000</v>
      </c>
      <c r="Q20" s="262">
        <f>+P20*E18/100</f>
        <v>19250</v>
      </c>
      <c r="R20" s="287"/>
      <c r="S20" s="288"/>
      <c r="T20" s="288"/>
      <c r="U20" s="289"/>
      <c r="V20" s="274">
        <f>+(P18-P20)*B14</f>
        <v>0</v>
      </c>
    </row>
    <row r="21" spans="1:22" x14ac:dyDescent="0.2">
      <c r="L21" s="517"/>
      <c r="M21" s="488" t="s">
        <v>244</v>
      </c>
      <c r="N21" s="491">
        <f>+H31</f>
        <v>139562.5</v>
      </c>
      <c r="O21" s="278" t="s">
        <v>132</v>
      </c>
      <c r="P21" s="280">
        <f>+P18</f>
        <v>35000</v>
      </c>
      <c r="Q21" s="280" t="s">
        <v>66</v>
      </c>
      <c r="R21" s="267"/>
      <c r="S21" s="267"/>
      <c r="T21" s="267"/>
      <c r="U21" s="267"/>
      <c r="V21" s="274">
        <f>+P21*$B$14</f>
        <v>2380000</v>
      </c>
    </row>
    <row r="22" spans="1:22" ht="13.5" thickBot="1" x14ac:dyDescent="0.25">
      <c r="A22" s="184" t="s">
        <v>244</v>
      </c>
      <c r="B22" s="163"/>
      <c r="L22" s="518"/>
      <c r="M22" s="490"/>
      <c r="N22" s="514"/>
      <c r="O22" s="279" t="s">
        <v>293</v>
      </c>
      <c r="P22" s="252">
        <f>+P21*0.5</f>
        <v>17500</v>
      </c>
      <c r="Q22" s="252">
        <f>+I31</f>
        <v>21875</v>
      </c>
      <c r="R22" s="269"/>
      <c r="S22" s="269"/>
      <c r="T22" s="269"/>
      <c r="U22" s="269"/>
      <c r="V22" s="274">
        <f>+P21*B14</f>
        <v>2380000</v>
      </c>
    </row>
    <row r="23" spans="1:22" ht="13.5" thickTop="1" x14ac:dyDescent="0.2">
      <c r="A23" s="163"/>
      <c r="B23" s="163"/>
    </row>
    <row r="24" spans="1:22" ht="14.25" customHeight="1" x14ac:dyDescent="0.2">
      <c r="A24" s="182" t="s">
        <v>177</v>
      </c>
      <c r="B24" s="164"/>
    </row>
    <row r="25" spans="1:22" x14ac:dyDescent="0.2">
      <c r="A25" s="181" t="s">
        <v>209</v>
      </c>
      <c r="B25" s="177">
        <v>35000</v>
      </c>
    </row>
    <row r="26" spans="1:22" x14ac:dyDescent="0.2">
      <c r="A26" s="181" t="s">
        <v>200</v>
      </c>
      <c r="B26" s="177">
        <v>17500</v>
      </c>
    </row>
    <row r="27" spans="1:22" ht="14.25" customHeight="1" x14ac:dyDescent="0.2">
      <c r="A27" s="181"/>
      <c r="B27" s="285"/>
    </row>
    <row r="29" spans="1:22" ht="19.5" customHeight="1" x14ac:dyDescent="0.2">
      <c r="C29" s="503" t="s">
        <v>294</v>
      </c>
      <c r="D29" s="503" t="s">
        <v>295</v>
      </c>
      <c r="E29" s="503" t="s">
        <v>261</v>
      </c>
      <c r="F29" s="503" t="s">
        <v>297</v>
      </c>
      <c r="G29" s="290"/>
      <c r="H29" s="503" t="s">
        <v>201</v>
      </c>
      <c r="I29" s="503" t="s">
        <v>202</v>
      </c>
    </row>
    <row r="30" spans="1:22" ht="19.5" customHeight="1" x14ac:dyDescent="0.2">
      <c r="A30" s="177"/>
      <c r="C30" s="503"/>
      <c r="D30" s="503"/>
      <c r="E30" s="503"/>
      <c r="F30" s="503"/>
      <c r="G30" s="290"/>
      <c r="H30" s="503"/>
      <c r="I30" s="503"/>
    </row>
    <row r="31" spans="1:22" ht="27" customHeight="1" x14ac:dyDescent="0.2">
      <c r="A31" s="505" t="s">
        <v>94</v>
      </c>
      <c r="B31" s="505"/>
      <c r="C31" s="185">
        <f>+'Costos China'!C12</f>
        <v>450</v>
      </c>
      <c r="D31" s="286">
        <v>5.25</v>
      </c>
      <c r="E31" s="286">
        <f>+'Costos China'!D12</f>
        <v>1.5</v>
      </c>
      <c r="F31" s="185">
        <v>125</v>
      </c>
      <c r="G31" s="290"/>
      <c r="H31" s="185">
        <f>+C31*B25/1000+C32*B25/1000+E31*B25*2+D31*B25/100</f>
        <v>139562.5</v>
      </c>
      <c r="I31" s="186">
        <f>+B26/100*F31</f>
        <v>21875</v>
      </c>
    </row>
    <row r="32" spans="1:22" ht="27" customHeight="1" x14ac:dyDescent="0.2">
      <c r="A32" s="505" t="s">
        <v>95</v>
      </c>
      <c r="B32" s="505"/>
      <c r="C32" s="185">
        <f>+'Costos China'!C16</f>
        <v>485</v>
      </c>
      <c r="D32" s="185" t="s">
        <v>66</v>
      </c>
      <c r="E32" s="286">
        <f>+E31</f>
        <v>1.5</v>
      </c>
      <c r="F32" s="185" t="s">
        <v>66</v>
      </c>
    </row>
    <row r="33" spans="1:9" ht="9" customHeight="1" x14ac:dyDescent="0.2"/>
    <row r="34" spans="1:9" ht="13.5" x14ac:dyDescent="0.2">
      <c r="A34" s="327" t="s">
        <v>337</v>
      </c>
    </row>
    <row r="37" spans="1:9" ht="13.5" thickBot="1" x14ac:dyDescent="0.25">
      <c r="A37" s="184" t="s">
        <v>232</v>
      </c>
      <c r="B37" s="163"/>
      <c r="C37" s="293">
        <f>+C31/1000+D31/100</f>
        <v>0.50250000000000006</v>
      </c>
      <c r="F37" s="205">
        <f>+F31/100</f>
        <v>1.25</v>
      </c>
    </row>
    <row r="38" spans="1:9" ht="13.5" thickTop="1" x14ac:dyDescent="0.2">
      <c r="A38" s="163"/>
      <c r="B38" s="163"/>
    </row>
    <row r="39" spans="1:9" x14ac:dyDescent="0.2">
      <c r="A39" s="182" t="s">
        <v>177</v>
      </c>
      <c r="B39" s="164"/>
    </row>
    <row r="40" spans="1:9" x14ac:dyDescent="0.2">
      <c r="A40" s="181" t="s">
        <v>205</v>
      </c>
      <c r="B40" s="239">
        <f>+'Costo Importar'!L12*0.6</f>
        <v>12.9</v>
      </c>
    </row>
    <row r="41" spans="1:9" x14ac:dyDescent="0.2">
      <c r="A41" s="181"/>
      <c r="B41" s="177"/>
      <c r="I41" s="503" t="s">
        <v>245</v>
      </c>
    </row>
    <row r="42" spans="1:9" ht="22.5" customHeight="1" x14ac:dyDescent="0.2">
      <c r="A42" s="177"/>
      <c r="B42" s="177"/>
      <c r="C42" s="188" t="s">
        <v>174</v>
      </c>
      <c r="D42" s="188" t="s">
        <v>167</v>
      </c>
      <c r="E42" s="188" t="s">
        <v>168</v>
      </c>
      <c r="F42" s="189" t="s">
        <v>169</v>
      </c>
      <c r="G42" s="190" t="s">
        <v>77</v>
      </c>
      <c r="I42" s="503"/>
    </row>
    <row r="43" spans="1:9" ht="22.5" customHeight="1" x14ac:dyDescent="0.2">
      <c r="A43" s="191" t="s">
        <v>204</v>
      </c>
      <c r="B43" s="192"/>
      <c r="C43" s="193">
        <f>-Análisis!C20</f>
        <v>750</v>
      </c>
      <c r="D43" s="193">
        <f>-Análisis!D20</f>
        <v>10650</v>
      </c>
      <c r="E43" s="193">
        <f>-Análisis!E20</f>
        <v>12465</v>
      </c>
      <c r="F43" s="194">
        <f>-Análisis!F20</f>
        <v>14461.5</v>
      </c>
      <c r="G43" s="195">
        <f>SUM(C43:E43)</f>
        <v>23865</v>
      </c>
      <c r="I43" s="186">
        <f>+F43*B14-G43*B40</f>
        <v>675523.5</v>
      </c>
    </row>
  </sheetData>
  <mergeCells count="29">
    <mergeCell ref="A32:B32"/>
    <mergeCell ref="I29:I30"/>
    <mergeCell ref="A31:B31"/>
    <mergeCell ref="I41:I42"/>
    <mergeCell ref="A18:B18"/>
    <mergeCell ref="C29:C30"/>
    <mergeCell ref="E29:E30"/>
    <mergeCell ref="D29:D30"/>
    <mergeCell ref="F29:F30"/>
    <mergeCell ref="H29:H30"/>
    <mergeCell ref="I16:I17"/>
    <mergeCell ref="C16:C17"/>
    <mergeCell ref="D16:D17"/>
    <mergeCell ref="E16:E17"/>
    <mergeCell ref="G16:G17"/>
    <mergeCell ref="H16:H17"/>
    <mergeCell ref="L16:L17"/>
    <mergeCell ref="M16:N16"/>
    <mergeCell ref="O16:O17"/>
    <mergeCell ref="L18:L22"/>
    <mergeCell ref="M18:M20"/>
    <mergeCell ref="N18:N20"/>
    <mergeCell ref="O18:O19"/>
    <mergeCell ref="Q16:Q17"/>
    <mergeCell ref="Q18:Q19"/>
    <mergeCell ref="R16:S17"/>
    <mergeCell ref="P18:P19"/>
    <mergeCell ref="M21:M22"/>
    <mergeCell ref="N21:N22"/>
  </mergeCells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showGridLines="0" topLeftCell="A4" zoomScaleNormal="100" workbookViewId="0">
      <selection activeCell="F35" sqref="F35"/>
    </sheetView>
  </sheetViews>
  <sheetFormatPr baseColWidth="10" defaultRowHeight="14.25" x14ac:dyDescent="0.2"/>
  <cols>
    <col min="1" max="1" width="42.75" style="13" customWidth="1"/>
    <col min="2" max="2" width="9" style="13" customWidth="1"/>
    <col min="3" max="3" width="9.125" style="13" customWidth="1"/>
    <col min="4" max="16384" width="11" style="13"/>
  </cols>
  <sheetData>
    <row r="1" spans="1:3" ht="15" x14ac:dyDescent="0.2">
      <c r="A1" s="156" t="s">
        <v>233</v>
      </c>
    </row>
    <row r="3" spans="1:3" x14ac:dyDescent="0.2">
      <c r="A3" s="521" t="s">
        <v>220</v>
      </c>
      <c r="B3" s="154" t="s">
        <v>222</v>
      </c>
      <c r="C3" s="153" t="s">
        <v>224</v>
      </c>
    </row>
    <row r="4" spans="1:3" x14ac:dyDescent="0.2">
      <c r="A4" s="521"/>
      <c r="B4" s="154" t="s">
        <v>223</v>
      </c>
      <c r="C4" s="153" t="s">
        <v>225</v>
      </c>
    </row>
    <row r="5" spans="1:3" ht="18.75" customHeight="1" thickBot="1" x14ac:dyDescent="0.25">
      <c r="A5" s="297" t="s">
        <v>309</v>
      </c>
      <c r="B5" s="157"/>
      <c r="C5" s="158"/>
    </row>
    <row r="6" spans="1:3" ht="18.75" customHeight="1" thickBot="1" x14ac:dyDescent="0.25">
      <c r="A6" s="298" t="s">
        <v>310</v>
      </c>
      <c r="B6" s="159"/>
      <c r="C6" s="160"/>
    </row>
    <row r="7" spans="1:3" ht="18.75" customHeight="1" thickBot="1" x14ac:dyDescent="0.25">
      <c r="A7" s="297" t="s">
        <v>339</v>
      </c>
      <c r="B7" s="157"/>
      <c r="C7" s="158"/>
    </row>
    <row r="8" spans="1:3" ht="18.75" customHeight="1" thickBot="1" x14ac:dyDescent="0.25">
      <c r="A8" s="298" t="s">
        <v>311</v>
      </c>
      <c r="B8" s="159"/>
      <c r="C8" s="160"/>
    </row>
    <row r="9" spans="1:3" ht="26.25" thickBot="1" x14ac:dyDescent="0.25">
      <c r="A9" s="298" t="s">
        <v>312</v>
      </c>
      <c r="B9" s="159"/>
      <c r="C9" s="160"/>
    </row>
    <row r="10" spans="1:3" ht="18.75" customHeight="1" thickBot="1" x14ac:dyDescent="0.25">
      <c r="A10" s="297" t="s">
        <v>314</v>
      </c>
      <c r="B10" s="161"/>
      <c r="C10" s="162"/>
    </row>
    <row r="11" spans="1:3" ht="26.25" thickBot="1" x14ac:dyDescent="0.25">
      <c r="A11" s="298" t="s">
        <v>221</v>
      </c>
      <c r="B11" s="159"/>
      <c r="C11" s="160"/>
    </row>
    <row r="12" spans="1:3" ht="26.25" thickBot="1" x14ac:dyDescent="0.25">
      <c r="A12" s="298" t="s">
        <v>313</v>
      </c>
      <c r="B12" s="159"/>
      <c r="C12" s="160"/>
    </row>
    <row r="13" spans="1:3" ht="18.75" customHeight="1" thickBot="1" x14ac:dyDescent="0.25">
      <c r="A13" s="297" t="s">
        <v>315</v>
      </c>
      <c r="B13" s="161"/>
      <c r="C13" s="162"/>
    </row>
    <row r="14" spans="1:3" ht="18.75" customHeight="1" thickBot="1" x14ac:dyDescent="0.25">
      <c r="A14" s="298" t="s">
        <v>316</v>
      </c>
      <c r="B14" s="159"/>
      <c r="C14" s="160"/>
    </row>
    <row r="15" spans="1:3" ht="18.75" customHeight="1" thickBot="1" x14ac:dyDescent="0.25">
      <c r="A15" s="298" t="s">
        <v>317</v>
      </c>
      <c r="B15" s="159"/>
      <c r="C15" s="160"/>
    </row>
    <row r="17" spans="1:3" ht="15" x14ac:dyDescent="0.2">
      <c r="A17" s="156" t="s">
        <v>234</v>
      </c>
    </row>
    <row r="19" spans="1:3" x14ac:dyDescent="0.2">
      <c r="A19" s="521" t="s">
        <v>220</v>
      </c>
      <c r="B19" s="154" t="s">
        <v>222</v>
      </c>
      <c r="C19" s="153" t="s">
        <v>224</v>
      </c>
    </row>
    <row r="20" spans="1:3" x14ac:dyDescent="0.2">
      <c r="A20" s="521"/>
      <c r="B20" s="154" t="s">
        <v>223</v>
      </c>
      <c r="C20" s="153" t="s">
        <v>225</v>
      </c>
    </row>
    <row r="21" spans="1:3" ht="15" thickBot="1" x14ac:dyDescent="0.25">
      <c r="A21" s="297" t="s">
        <v>309</v>
      </c>
      <c r="B21" s="157"/>
      <c r="C21" s="158"/>
    </row>
    <row r="22" spans="1:3" ht="15" thickBot="1" x14ac:dyDescent="0.25">
      <c r="A22" s="298" t="s">
        <v>310</v>
      </c>
      <c r="B22" s="299">
        <f>+'Apendice 3'!H27</f>
        <v>362670</v>
      </c>
      <c r="C22" s="300">
        <f>+'Apendice 3'!H73</f>
        <v>318744.15000000002</v>
      </c>
    </row>
    <row r="23" spans="1:3" ht="15" thickBot="1" x14ac:dyDescent="0.25">
      <c r="A23" s="297" t="s">
        <v>339</v>
      </c>
      <c r="B23" s="157"/>
      <c r="C23" s="158"/>
    </row>
    <row r="24" spans="1:3" ht="15" thickBot="1" x14ac:dyDescent="0.25">
      <c r="A24" s="298" t="s">
        <v>340</v>
      </c>
      <c r="B24" s="329">
        <v>0.54</v>
      </c>
      <c r="C24" s="330">
        <v>0.55000000000000004</v>
      </c>
    </row>
    <row r="25" spans="1:3" ht="26.25" thickBot="1" x14ac:dyDescent="0.25">
      <c r="A25" s="298" t="s">
        <v>312</v>
      </c>
      <c r="B25" s="159">
        <v>1</v>
      </c>
      <c r="C25" s="160">
        <v>3</v>
      </c>
    </row>
    <row r="26" spans="1:3" ht="15" thickBot="1" x14ac:dyDescent="0.25">
      <c r="A26" s="297" t="s">
        <v>314</v>
      </c>
      <c r="B26" s="161"/>
      <c r="C26" s="162"/>
    </row>
    <row r="27" spans="1:3" ht="26.25" thickBot="1" x14ac:dyDescent="0.25">
      <c r="A27" s="298" t="s">
        <v>221</v>
      </c>
      <c r="B27" s="159">
        <v>1</v>
      </c>
      <c r="C27" s="160">
        <v>3</v>
      </c>
    </row>
    <row r="28" spans="1:3" ht="26.25" thickBot="1" x14ac:dyDescent="0.25">
      <c r="A28" s="298" t="s">
        <v>313</v>
      </c>
      <c r="B28" s="159">
        <v>3</v>
      </c>
      <c r="C28" s="160">
        <v>1</v>
      </c>
    </row>
    <row r="29" spans="1:3" ht="15" thickBot="1" x14ac:dyDescent="0.25">
      <c r="A29" s="297" t="s">
        <v>315</v>
      </c>
      <c r="B29" s="161"/>
      <c r="C29" s="162"/>
    </row>
    <row r="30" spans="1:3" ht="15" thickBot="1" x14ac:dyDescent="0.25">
      <c r="A30" s="298" t="s">
        <v>316</v>
      </c>
      <c r="B30" s="159">
        <v>3</v>
      </c>
      <c r="C30" s="160">
        <v>3</v>
      </c>
    </row>
    <row r="31" spans="1:3" ht="26.25" thickBot="1" x14ac:dyDescent="0.25">
      <c r="A31" s="298" t="s">
        <v>317</v>
      </c>
      <c r="B31" s="159">
        <v>2</v>
      </c>
      <c r="C31" s="160">
        <v>2</v>
      </c>
    </row>
    <row r="33" spans="1:3" x14ac:dyDescent="0.2">
      <c r="A33" s="522" t="s">
        <v>341</v>
      </c>
      <c r="B33" s="522"/>
      <c r="C33" s="522"/>
    </row>
    <row r="34" spans="1:3" x14ac:dyDescent="0.2">
      <c r="A34" s="522"/>
      <c r="B34" s="522"/>
      <c r="C34" s="522"/>
    </row>
    <row r="35" spans="1:3" x14ac:dyDescent="0.2">
      <c r="A35" s="522"/>
      <c r="B35" s="522"/>
      <c r="C35" s="522"/>
    </row>
  </sheetData>
  <mergeCells count="3">
    <mergeCell ref="A19:A20"/>
    <mergeCell ref="A3:A4"/>
    <mergeCell ref="A33:C35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showGridLines="0" tabSelected="1" workbookViewId="0">
      <selection activeCell="F14" sqref="F14"/>
    </sheetView>
  </sheetViews>
  <sheetFormatPr baseColWidth="10" defaultRowHeight="14.25" x14ac:dyDescent="0.2"/>
  <cols>
    <col min="1" max="1" width="32.125" style="13" customWidth="1"/>
    <col min="2" max="2" width="13.25" style="13" customWidth="1"/>
    <col min="3" max="7" width="6" style="13" customWidth="1"/>
    <col min="8" max="16384" width="11" style="13"/>
  </cols>
  <sheetData>
    <row r="1" spans="1:7" ht="15" customHeight="1" x14ac:dyDescent="0.2">
      <c r="A1" s="523" t="s">
        <v>227</v>
      </c>
      <c r="B1" s="527" t="s">
        <v>226</v>
      </c>
      <c r="C1" s="525" t="s">
        <v>343</v>
      </c>
      <c r="D1" s="525"/>
      <c r="E1" s="525"/>
      <c r="F1" s="525"/>
      <c r="G1" s="526"/>
    </row>
    <row r="2" spans="1:7" ht="15" thickBot="1" x14ac:dyDescent="0.25">
      <c r="A2" s="524"/>
      <c r="B2" s="528"/>
      <c r="C2" s="339">
        <v>39309</v>
      </c>
      <c r="D2" s="339">
        <v>39326</v>
      </c>
      <c r="E2" s="339">
        <v>39350</v>
      </c>
      <c r="F2" s="339">
        <v>39355</v>
      </c>
      <c r="G2" s="340">
        <v>39365</v>
      </c>
    </row>
    <row r="3" spans="1:7" ht="39.75" customHeight="1" thickBot="1" x14ac:dyDescent="0.25">
      <c r="A3" s="345" t="s">
        <v>344</v>
      </c>
      <c r="B3" s="301" t="s">
        <v>345</v>
      </c>
      <c r="C3" s="331"/>
      <c r="D3" s="333"/>
      <c r="E3" s="333"/>
      <c r="F3" s="333"/>
      <c r="G3" s="335"/>
    </row>
    <row r="4" spans="1:7" ht="39.75" customHeight="1" thickBot="1" x14ac:dyDescent="0.25">
      <c r="A4" s="346" t="s">
        <v>346</v>
      </c>
      <c r="B4" s="302" t="s">
        <v>228</v>
      </c>
      <c r="C4" s="332"/>
      <c r="D4" s="333"/>
      <c r="E4" s="333"/>
      <c r="F4" s="333"/>
      <c r="G4" s="335"/>
    </row>
    <row r="5" spans="1:7" ht="39.75" customHeight="1" thickBot="1" x14ac:dyDescent="0.25">
      <c r="A5" s="345" t="s">
        <v>349</v>
      </c>
      <c r="B5" s="303" t="s">
        <v>228</v>
      </c>
      <c r="C5" s="333"/>
      <c r="D5" s="334"/>
      <c r="E5" s="332"/>
      <c r="F5" s="333"/>
      <c r="G5" s="335"/>
    </row>
    <row r="6" spans="1:7" ht="39.75" customHeight="1" thickBot="1" x14ac:dyDescent="0.25">
      <c r="A6" s="346" t="s">
        <v>350</v>
      </c>
      <c r="B6" s="302" t="s">
        <v>229</v>
      </c>
      <c r="C6" s="333"/>
      <c r="D6" s="333"/>
      <c r="E6" s="332"/>
      <c r="F6" s="333"/>
      <c r="G6" s="335"/>
    </row>
    <row r="7" spans="1:7" ht="39.75" customHeight="1" thickBot="1" x14ac:dyDescent="0.25">
      <c r="A7" s="345" t="s">
        <v>348</v>
      </c>
      <c r="B7" s="303" t="s">
        <v>230</v>
      </c>
      <c r="C7" s="333"/>
      <c r="D7" s="333"/>
      <c r="E7" s="333"/>
      <c r="F7" s="332"/>
      <c r="G7" s="335"/>
    </row>
    <row r="8" spans="1:7" ht="39.75" customHeight="1" x14ac:dyDescent="0.2">
      <c r="A8" s="347" t="s">
        <v>347</v>
      </c>
      <c r="B8" s="336" t="s">
        <v>231</v>
      </c>
      <c r="C8" s="337"/>
      <c r="D8" s="337"/>
      <c r="E8" s="337"/>
      <c r="F8" s="337"/>
      <c r="G8" s="338"/>
    </row>
  </sheetData>
  <mergeCells count="3">
    <mergeCell ref="A1:A2"/>
    <mergeCell ref="C1:G1"/>
    <mergeCell ref="B1:B2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showGridLines="0" topLeftCell="G16" workbookViewId="0">
      <selection activeCell="O28" sqref="O28:R30"/>
    </sheetView>
  </sheetViews>
  <sheetFormatPr baseColWidth="10" defaultRowHeight="15" x14ac:dyDescent="0.25"/>
  <cols>
    <col min="1" max="1" width="7.625" customWidth="1"/>
    <col min="3" max="3" width="4.875" customWidth="1"/>
    <col min="4" max="4" width="10.625" customWidth="1"/>
    <col min="5" max="5" width="3.25" customWidth="1"/>
    <col min="8" max="8" width="7.625" customWidth="1"/>
    <col min="10" max="10" width="11" customWidth="1"/>
    <col min="11" max="11" width="9.875" customWidth="1"/>
    <col min="12" max="12" width="4.125" customWidth="1"/>
    <col min="13" max="13" width="15.5" customWidth="1"/>
    <col min="15" max="15" width="16.625" customWidth="1"/>
    <col min="17" max="17" width="4.75" customWidth="1"/>
    <col min="19" max="19" width="3.5" customWidth="1"/>
    <col min="20" max="20" width="15.375" customWidth="1"/>
  </cols>
  <sheetData>
    <row r="1" spans="1:20" ht="38.25" x14ac:dyDescent="0.25">
      <c r="A1" s="316" t="s">
        <v>351</v>
      </c>
      <c r="B1" s="316" t="s">
        <v>352</v>
      </c>
      <c r="C1" s="316" t="s">
        <v>9</v>
      </c>
      <c r="D1" s="316" t="s">
        <v>353</v>
      </c>
      <c r="H1" s="316" t="s">
        <v>351</v>
      </c>
      <c r="I1" s="316" t="s">
        <v>352</v>
      </c>
      <c r="J1" s="316" t="s">
        <v>9</v>
      </c>
      <c r="K1" s="316" t="s">
        <v>353</v>
      </c>
      <c r="O1" s="316" t="s">
        <v>351</v>
      </c>
      <c r="P1" s="358" t="s">
        <v>352</v>
      </c>
      <c r="Q1" s="316" t="s">
        <v>9</v>
      </c>
      <c r="R1" s="316" t="s">
        <v>353</v>
      </c>
    </row>
    <row r="2" spans="1:20" ht="19.5" customHeight="1" x14ac:dyDescent="0.25">
      <c r="A2" s="344" t="s">
        <v>267</v>
      </c>
      <c r="B2" s="355">
        <f>+'Apendice 3'!AE3</f>
        <v>695275</v>
      </c>
      <c r="C2" s="343">
        <f>+'Apendice 3'!AB1</f>
        <v>0.9</v>
      </c>
      <c r="D2" s="529">
        <f>+B2*C2+B3*C3</f>
        <v>680400</v>
      </c>
      <c r="F2" s="529" t="s">
        <v>354</v>
      </c>
      <c r="H2" s="344" t="s">
        <v>272</v>
      </c>
      <c r="I2" s="355">
        <f>+'Apendice 3'!AE28</f>
        <v>695275</v>
      </c>
      <c r="J2" s="343">
        <f>+'Apendice 3'!AB26</f>
        <v>0.75</v>
      </c>
      <c r="K2" s="529">
        <f>+I2*J2+I3*J3</f>
        <v>546525</v>
      </c>
      <c r="M2" s="529" t="s">
        <v>358</v>
      </c>
      <c r="O2" s="341" t="s">
        <v>277</v>
      </c>
      <c r="P2" s="355">
        <f>+'Apendice 3'!AE53</f>
        <v>514937.5</v>
      </c>
      <c r="Q2" s="343">
        <f>+'Apendice 3'!AB51</f>
        <v>0.95</v>
      </c>
      <c r="R2" s="529">
        <f>+Q2*P2+Q3*P3</f>
        <v>500062.5</v>
      </c>
      <c r="T2" s="529" t="s">
        <v>362</v>
      </c>
    </row>
    <row r="3" spans="1:20" ht="19.5" customHeight="1" x14ac:dyDescent="0.25">
      <c r="A3" s="354" t="s">
        <v>268</v>
      </c>
      <c r="B3" s="356">
        <f>+'Apendice 3'!AE8</f>
        <v>546525</v>
      </c>
      <c r="C3" s="343">
        <f>+'Apendice 3'!AB6</f>
        <v>0.1</v>
      </c>
      <c r="D3" s="530"/>
      <c r="F3" s="530"/>
      <c r="H3" s="354" t="s">
        <v>273</v>
      </c>
      <c r="I3" s="356">
        <f>+'Apendice 3'!AE33</f>
        <v>100275</v>
      </c>
      <c r="J3" s="343">
        <f>100%-J2</f>
        <v>0.25</v>
      </c>
      <c r="K3" s="530"/>
      <c r="M3" s="530"/>
      <c r="O3" s="342" t="s">
        <v>278</v>
      </c>
      <c r="P3" s="356">
        <f>+'Apendice 3'!AE58</f>
        <v>217437.5</v>
      </c>
      <c r="Q3" s="343">
        <f>100%-Q2</f>
        <v>5.0000000000000044E-2</v>
      </c>
      <c r="R3" s="530"/>
      <c r="T3" s="530"/>
    </row>
    <row r="4" spans="1:20" x14ac:dyDescent="0.25">
      <c r="B4" s="357"/>
      <c r="I4" s="357"/>
    </row>
    <row r="5" spans="1:20" ht="38.25" x14ac:dyDescent="0.25">
      <c r="A5" s="316" t="s">
        <v>351</v>
      </c>
      <c r="B5" s="358" t="s">
        <v>352</v>
      </c>
      <c r="C5" s="316" t="s">
        <v>9</v>
      </c>
      <c r="D5" s="316" t="s">
        <v>353</v>
      </c>
      <c r="H5" s="316" t="s">
        <v>351</v>
      </c>
      <c r="I5" s="358" t="s">
        <v>352</v>
      </c>
      <c r="J5" s="316" t="s">
        <v>9</v>
      </c>
      <c r="K5" s="316" t="s">
        <v>353</v>
      </c>
      <c r="O5" s="316" t="s">
        <v>351</v>
      </c>
      <c r="P5" s="358" t="s">
        <v>352</v>
      </c>
      <c r="Q5" s="316" t="s">
        <v>9</v>
      </c>
      <c r="R5" s="316" t="s">
        <v>353</v>
      </c>
    </row>
    <row r="6" spans="1:20" ht="19.5" customHeight="1" x14ac:dyDescent="0.25">
      <c r="A6" s="341" t="str">
        <f>+F2</f>
        <v>VME' (a)</v>
      </c>
      <c r="B6" s="355">
        <f>+'Apendice 3'!Y6</f>
        <v>680400</v>
      </c>
      <c r="C6" s="343">
        <f>+'Apendice 3'!W3</f>
        <v>0.9</v>
      </c>
      <c r="D6" s="529">
        <f>+C6*B6+C7*B7</f>
        <v>443887.5</v>
      </c>
      <c r="F6" s="529" t="s">
        <v>355</v>
      </c>
      <c r="H6" s="341" t="str">
        <f>+M2</f>
        <v>VME' (d)</v>
      </c>
      <c r="I6" s="355">
        <f>+K2</f>
        <v>546525</v>
      </c>
      <c r="J6" s="343">
        <f>+'Apendice 3'!W28</f>
        <v>0.85</v>
      </c>
      <c r="K6" s="529">
        <f>+J6*I6+J7*I7</f>
        <v>211837.49999999997</v>
      </c>
      <c r="M6" s="529" t="s">
        <v>359</v>
      </c>
      <c r="O6" s="341" t="str">
        <f>+T2</f>
        <v>VME' (g)</v>
      </c>
      <c r="P6" s="355">
        <f>+R2</f>
        <v>500062.5</v>
      </c>
      <c r="Q6" s="343">
        <f>+'Apendice 3'!W53</f>
        <v>0.9</v>
      </c>
      <c r="R6" s="529">
        <f>+Q6*P6+Q7*P7</f>
        <v>265475</v>
      </c>
      <c r="T6" s="529" t="s">
        <v>363</v>
      </c>
    </row>
    <row r="7" spans="1:20" ht="19.5" customHeight="1" x14ac:dyDescent="0.25">
      <c r="A7" s="354" t="s">
        <v>269</v>
      </c>
      <c r="B7" s="356">
        <f>+'Apendice 3'!AE13</f>
        <v>-1684725</v>
      </c>
      <c r="C7" s="343">
        <f>+'Apendice 3'!W11</f>
        <v>0.1</v>
      </c>
      <c r="D7" s="530"/>
      <c r="F7" s="530"/>
      <c r="H7" s="354" t="s">
        <v>274</v>
      </c>
      <c r="I7" s="356">
        <f>+'Apendice 3'!AE38</f>
        <v>-1684725</v>
      </c>
      <c r="J7" s="343">
        <f>100%-J6</f>
        <v>0.15000000000000002</v>
      </c>
      <c r="K7" s="530"/>
      <c r="M7" s="530"/>
      <c r="O7" s="342" t="s">
        <v>279</v>
      </c>
      <c r="P7" s="356">
        <f>+'Apendice 3'!AE63</f>
        <v>-1845812.5</v>
      </c>
      <c r="Q7" s="343">
        <f>100%-Q6</f>
        <v>9.9999999999999978E-2</v>
      </c>
      <c r="R7" s="530"/>
      <c r="T7" s="530"/>
    </row>
    <row r="10" spans="1:20" ht="38.25" x14ac:dyDescent="0.25">
      <c r="A10" s="316" t="s">
        <v>351</v>
      </c>
      <c r="B10" s="358" t="s">
        <v>352</v>
      </c>
      <c r="C10" s="316" t="s">
        <v>9</v>
      </c>
      <c r="D10" s="316" t="s">
        <v>353</v>
      </c>
      <c r="H10" s="316" t="s">
        <v>351</v>
      </c>
      <c r="I10" s="358" t="s">
        <v>352</v>
      </c>
      <c r="J10" s="316" t="s">
        <v>9</v>
      </c>
      <c r="K10" s="316" t="s">
        <v>353</v>
      </c>
      <c r="O10" s="316" t="s">
        <v>351</v>
      </c>
      <c r="P10" s="358" t="s">
        <v>352</v>
      </c>
      <c r="Q10" s="316" t="s">
        <v>9</v>
      </c>
      <c r="R10" s="316" t="s">
        <v>353</v>
      </c>
    </row>
    <row r="11" spans="1:20" ht="19.5" customHeight="1" x14ac:dyDescent="0.25">
      <c r="A11" s="354" t="s">
        <v>270</v>
      </c>
      <c r="B11" s="355">
        <f>+'Apendice 3'!AE18</f>
        <v>896000</v>
      </c>
      <c r="C11" s="343">
        <f>+'Apendice 3'!W16</f>
        <v>0.15</v>
      </c>
      <c r="D11" s="531">
        <f>+C11*B11+C12*B12</f>
        <v>-115500</v>
      </c>
      <c r="F11" s="529" t="s">
        <v>356</v>
      </c>
      <c r="H11" s="354" t="s">
        <v>275</v>
      </c>
      <c r="I11" s="355">
        <f>+'Apendice 3'!AE43</f>
        <v>896000</v>
      </c>
      <c r="J11" s="343">
        <f>+'Apendice 3'!W41</f>
        <v>0.05</v>
      </c>
      <c r="K11" s="531">
        <f>+J11*I11+J12*I12</f>
        <v>-799750</v>
      </c>
      <c r="M11" s="529" t="s">
        <v>360</v>
      </c>
      <c r="O11" s="342" t="s">
        <v>280</v>
      </c>
      <c r="P11" s="355">
        <f>+'Apendice 3'!AE68</f>
        <v>516687.5</v>
      </c>
      <c r="Q11" s="343">
        <f>+'Apendice 3'!W66</f>
        <v>0.15</v>
      </c>
      <c r="R11" s="529">
        <f>+Q11*P11+Q12*P12</f>
        <v>498093.75</v>
      </c>
      <c r="T11" s="529" t="s">
        <v>364</v>
      </c>
    </row>
    <row r="12" spans="1:20" ht="19.5" customHeight="1" x14ac:dyDescent="0.25">
      <c r="A12" s="354" t="s">
        <v>271</v>
      </c>
      <c r="B12" s="356">
        <f>+'Apendice 3'!AE23</f>
        <v>-294000</v>
      </c>
      <c r="C12" s="343">
        <f>+'Apendice 3'!W21</f>
        <v>0.85</v>
      </c>
      <c r="D12" s="532"/>
      <c r="F12" s="530"/>
      <c r="H12" s="354" t="s">
        <v>276</v>
      </c>
      <c r="I12" s="356">
        <f>+'Apendice 3'!AE48</f>
        <v>-889000</v>
      </c>
      <c r="J12" s="343">
        <f>+'Apendice 3'!W46</f>
        <v>0.95</v>
      </c>
      <c r="K12" s="532"/>
      <c r="M12" s="530"/>
      <c r="O12" s="342" t="s">
        <v>281</v>
      </c>
      <c r="P12" s="356">
        <f>+'Apendice 3'!AE73</f>
        <v>494812.5</v>
      </c>
      <c r="Q12" s="343">
        <f>100%-Q11</f>
        <v>0.85</v>
      </c>
      <c r="R12" s="530"/>
      <c r="T12" s="530"/>
    </row>
    <row r="14" spans="1:20" ht="25.5" x14ac:dyDescent="0.25">
      <c r="A14" s="316" t="s">
        <v>351</v>
      </c>
      <c r="B14" s="358" t="s">
        <v>352</v>
      </c>
      <c r="D14" s="359" t="s">
        <v>357</v>
      </c>
      <c r="H14" s="316" t="s">
        <v>351</v>
      </c>
      <c r="I14" s="358" t="s">
        <v>352</v>
      </c>
      <c r="K14" s="359" t="s">
        <v>357</v>
      </c>
      <c r="O14" s="316" t="s">
        <v>351</v>
      </c>
      <c r="P14" s="358" t="s">
        <v>352</v>
      </c>
      <c r="R14" s="359" t="s">
        <v>357</v>
      </c>
    </row>
    <row r="15" spans="1:20" ht="19.5" customHeight="1" x14ac:dyDescent="0.25">
      <c r="A15" s="342" t="str">
        <f>+F6</f>
        <v>VME' (b)</v>
      </c>
      <c r="B15" s="355">
        <f>+D6</f>
        <v>443887.5</v>
      </c>
      <c r="D15" s="529">
        <f>+B15</f>
        <v>443887.5</v>
      </c>
      <c r="H15" s="342" t="str">
        <f>+M6</f>
        <v>VME' (e)</v>
      </c>
      <c r="I15" s="355">
        <f>+K6</f>
        <v>211837.49999999997</v>
      </c>
      <c r="K15" s="529">
        <f>+I15</f>
        <v>211837.49999999997</v>
      </c>
      <c r="O15" s="342" t="str">
        <f>+T6</f>
        <v>VME' (h)</v>
      </c>
      <c r="P15" s="355">
        <f>+R6</f>
        <v>265475</v>
      </c>
      <c r="R15" s="529">
        <f>+P16</f>
        <v>498093.75</v>
      </c>
    </row>
    <row r="16" spans="1:20" ht="19.5" customHeight="1" x14ac:dyDescent="0.25">
      <c r="A16" s="342" t="str">
        <f>+F11</f>
        <v>VME' (c)</v>
      </c>
      <c r="B16" s="356">
        <f>+D11</f>
        <v>-115500</v>
      </c>
      <c r="D16" s="530"/>
      <c r="H16" s="342" t="str">
        <f>+M11</f>
        <v>VME' (f)</v>
      </c>
      <c r="I16" s="356">
        <f>+K11</f>
        <v>-799750</v>
      </c>
      <c r="K16" s="530"/>
      <c r="O16" s="342" t="str">
        <f>+T11</f>
        <v>VME' (i)</v>
      </c>
      <c r="P16" s="356">
        <f>+R11</f>
        <v>498093.75</v>
      </c>
      <c r="R16" s="530"/>
    </row>
    <row r="19" spans="8:20" ht="38.25" x14ac:dyDescent="0.25">
      <c r="H19" s="316" t="s">
        <v>351</v>
      </c>
      <c r="I19" s="358" t="s">
        <v>352</v>
      </c>
      <c r="J19" s="316" t="s">
        <v>9</v>
      </c>
      <c r="K19" s="316" t="s">
        <v>353</v>
      </c>
      <c r="O19" s="316" t="s">
        <v>351</v>
      </c>
      <c r="P19" s="358" t="s">
        <v>352</v>
      </c>
      <c r="Q19" s="316" t="s">
        <v>9</v>
      </c>
      <c r="R19" s="316" t="s">
        <v>353</v>
      </c>
    </row>
    <row r="20" spans="8:20" ht="19.5" customHeight="1" x14ac:dyDescent="0.25">
      <c r="H20" s="341" t="str">
        <f>+A15</f>
        <v>VME' (b)</v>
      </c>
      <c r="I20" s="355">
        <f>+D15</f>
        <v>443887.5</v>
      </c>
      <c r="J20" s="343">
        <f>+'Apendice 3'!K12</f>
        <v>0.65</v>
      </c>
      <c r="K20" s="529">
        <f>+J20*I20+J21*I21</f>
        <v>362670</v>
      </c>
      <c r="M20" s="529" t="s">
        <v>361</v>
      </c>
      <c r="O20" s="342" t="s">
        <v>282</v>
      </c>
      <c r="P20" s="355">
        <f>+'Apendice 3'!AE78</f>
        <v>752500</v>
      </c>
      <c r="Q20" s="343">
        <f>+'Apendice 3'!Q76</f>
        <v>0.5</v>
      </c>
      <c r="R20" s="531">
        <f>+Q20*P20+Q21*P21</f>
        <v>-99738.25</v>
      </c>
      <c r="T20" s="529" t="s">
        <v>365</v>
      </c>
    </row>
    <row r="21" spans="8:20" ht="19.5" customHeight="1" x14ac:dyDescent="0.25">
      <c r="H21" s="342" t="str">
        <f>+H15</f>
        <v>VME' (e)</v>
      </c>
      <c r="I21" s="356">
        <f>+K15</f>
        <v>211837.49999999997</v>
      </c>
      <c r="J21" s="343">
        <f>100%-J20</f>
        <v>0.35</v>
      </c>
      <c r="K21" s="530"/>
      <c r="M21" s="530"/>
      <c r="O21" s="342" t="s">
        <v>283</v>
      </c>
      <c r="P21" s="356">
        <f>+'Apendice 3'!AE83</f>
        <v>-951976.5</v>
      </c>
      <c r="Q21" s="343">
        <f>100%-Q20</f>
        <v>0.5</v>
      </c>
      <c r="R21" s="532"/>
      <c r="T21" s="530"/>
    </row>
    <row r="23" spans="8:20" ht="38.25" x14ac:dyDescent="0.25">
      <c r="O23" s="316" t="s">
        <v>351</v>
      </c>
      <c r="P23" s="358" t="s">
        <v>352</v>
      </c>
      <c r="Q23" s="316" t="s">
        <v>9</v>
      </c>
      <c r="R23" s="316" t="s">
        <v>353</v>
      </c>
    </row>
    <row r="24" spans="8:20" ht="19.5" customHeight="1" x14ac:dyDescent="0.25">
      <c r="O24" s="342" t="str">
        <f>+T11</f>
        <v>VME' (i)</v>
      </c>
      <c r="P24" s="355">
        <f>+R15</f>
        <v>498093.75</v>
      </c>
      <c r="Q24" s="343">
        <f>+'Apendice 3'!K62</f>
        <v>0.7</v>
      </c>
      <c r="R24" s="529">
        <f>+Q24*P24+Q25*P25</f>
        <v>318744.15000000002</v>
      </c>
      <c r="T24" s="529" t="s">
        <v>366</v>
      </c>
    </row>
    <row r="25" spans="8:20" ht="19.5" customHeight="1" x14ac:dyDescent="0.25">
      <c r="O25" s="342" t="str">
        <f>+T20</f>
        <v>VME' (j)</v>
      </c>
      <c r="P25" s="356">
        <f>+R20</f>
        <v>-99738.25</v>
      </c>
      <c r="Q25" s="343">
        <f>100%-Q24</f>
        <v>0.30000000000000004</v>
      </c>
      <c r="R25" s="530"/>
      <c r="T25" s="530"/>
    </row>
    <row r="28" spans="8:20" ht="25.5" x14ac:dyDescent="0.25">
      <c r="O28" s="316" t="s">
        <v>351</v>
      </c>
      <c r="P28" s="358" t="s">
        <v>352</v>
      </c>
      <c r="R28" s="359" t="s">
        <v>357</v>
      </c>
    </row>
    <row r="29" spans="8:20" ht="19.5" customHeight="1" x14ac:dyDescent="0.25">
      <c r="O29" s="342" t="str">
        <f>+M20</f>
        <v>VME' (alternativa a)</v>
      </c>
      <c r="P29" s="355">
        <f>+K20</f>
        <v>362670</v>
      </c>
      <c r="R29" s="533">
        <f>+P29</f>
        <v>362670</v>
      </c>
    </row>
    <row r="30" spans="8:20" ht="19.5" customHeight="1" x14ac:dyDescent="0.25">
      <c r="O30" s="342" t="str">
        <f>+T24</f>
        <v>VME' (alternativa b)</v>
      </c>
      <c r="P30" s="356">
        <f>+R24</f>
        <v>318744.15000000002</v>
      </c>
      <c r="R30" s="534"/>
    </row>
  </sheetData>
  <mergeCells count="28">
    <mergeCell ref="R29:R30"/>
    <mergeCell ref="T2:T3"/>
    <mergeCell ref="R6:R7"/>
    <mergeCell ref="T6:T7"/>
    <mergeCell ref="R11:R12"/>
    <mergeCell ref="T11:T12"/>
    <mergeCell ref="D2:D3"/>
    <mergeCell ref="F2:F3"/>
    <mergeCell ref="D6:D7"/>
    <mergeCell ref="T20:T21"/>
    <mergeCell ref="R24:R25"/>
    <mergeCell ref="T24:T25"/>
    <mergeCell ref="K20:K21"/>
    <mergeCell ref="M20:M21"/>
    <mergeCell ref="R2:R3"/>
    <mergeCell ref="R15:R16"/>
    <mergeCell ref="K2:K3"/>
    <mergeCell ref="M2:M3"/>
    <mergeCell ref="K6:K7"/>
    <mergeCell ref="M6:M7"/>
    <mergeCell ref="K11:K12"/>
    <mergeCell ref="M11:M12"/>
    <mergeCell ref="R20:R21"/>
    <mergeCell ref="F6:F7"/>
    <mergeCell ref="D11:D12"/>
    <mergeCell ref="F11:F12"/>
    <mergeCell ref="D15:D16"/>
    <mergeCell ref="K15:K16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D1033"/>
  <sheetViews>
    <sheetView showGridLines="0" zoomScale="50" zoomScaleNormal="50" workbookViewId="0">
      <selection activeCell="AJ33" sqref="AJ33"/>
    </sheetView>
  </sheetViews>
  <sheetFormatPr baseColWidth="10" defaultRowHeight="14.25" x14ac:dyDescent="0.2"/>
  <cols>
    <col min="1" max="1" width="13" style="223" customWidth="1"/>
    <col min="2" max="2" width="10.125" style="223" customWidth="1"/>
    <col min="3" max="3" width="2.25" style="223" customWidth="1"/>
    <col min="4" max="4" width="3.625" style="223" customWidth="1"/>
    <col min="5" max="5" width="11.375" style="223" bestFit="1" customWidth="1"/>
    <col min="6" max="6" width="5.875" style="223" customWidth="1"/>
    <col min="7" max="7" width="12.375" style="223" customWidth="1"/>
    <col min="8" max="8" width="10.125" style="223" customWidth="1"/>
    <col min="9" max="9" width="2.25" style="223" customWidth="1"/>
    <col min="10" max="10" width="3.625" style="223" customWidth="1"/>
    <col min="11" max="11" width="11.375" style="223" bestFit="1" customWidth="1"/>
    <col min="12" max="12" width="5.875" style="223" customWidth="1"/>
    <col min="13" max="13" width="10.125" style="223" customWidth="1"/>
    <col min="14" max="14" width="10.25" style="223" customWidth="1"/>
    <col min="15" max="15" width="2.25" style="223" customWidth="1"/>
    <col min="16" max="16" width="3.625" style="223" customWidth="1"/>
    <col min="17" max="17" width="10" style="223" customWidth="1"/>
    <col min="18" max="18" width="5.875" style="223" customWidth="1"/>
    <col min="19" max="20" width="10.25" style="223" customWidth="1"/>
    <col min="21" max="21" width="2.25" style="223" customWidth="1"/>
    <col min="22" max="22" width="3.625" style="223" customWidth="1"/>
    <col min="23" max="23" width="11.125" style="223" bestFit="1" customWidth="1"/>
    <col min="24" max="25" width="10.25" style="223" customWidth="1"/>
    <col min="26" max="26" width="2.25" style="223" customWidth="1"/>
    <col min="27" max="27" width="3.625" style="223" customWidth="1"/>
    <col min="28" max="28" width="11.125" style="223" customWidth="1"/>
    <col min="29" max="29" width="11.375" style="223" bestFit="1" customWidth="1"/>
    <col min="30" max="30" width="2.25" style="223" customWidth="1"/>
    <col min="31" max="31" width="12" style="223" bestFit="1" customWidth="1"/>
    <col min="32" max="32" width="5.75" style="223" customWidth="1"/>
    <col min="33" max="33" width="11" style="223"/>
    <col min="34" max="34" width="2.25" style="223" customWidth="1"/>
    <col min="35" max="37" width="11" style="223"/>
    <col min="38" max="38" width="2.25" style="223" customWidth="1"/>
    <col min="39" max="41" width="11" style="223"/>
    <col min="42" max="42" width="2.25" style="223" customWidth="1"/>
    <col min="43" max="196" width="11" style="223"/>
    <col min="197" max="198" width="11.125" style="223" bestFit="1" customWidth="1"/>
    <col min="199" max="199" width="11" style="223"/>
    <col min="200" max="202" width="11.125" style="223" bestFit="1" customWidth="1"/>
    <col min="203" max="203" width="11" style="223"/>
    <col min="204" max="211" width="11.125" style="223" bestFit="1" customWidth="1"/>
    <col min="212" max="212" width="14.25" style="223" bestFit="1" customWidth="1"/>
    <col min="213" max="16384" width="11" style="223"/>
  </cols>
  <sheetData>
    <row r="1" spans="2:33" ht="15" x14ac:dyDescent="0.25">
      <c r="B1" s="222"/>
      <c r="AB1" s="352">
        <v>0.9</v>
      </c>
      <c r="AE1" s="225"/>
    </row>
    <row r="2" spans="2:33" x14ac:dyDescent="0.2">
      <c r="AB2" s="226" t="s">
        <v>122</v>
      </c>
    </row>
    <row r="3" spans="2:33" x14ac:dyDescent="0.2">
      <c r="W3" s="352">
        <v>0.9</v>
      </c>
      <c r="X3" s="352"/>
      <c r="AE3" s="227">
        <f>SUM(E27,K15,Q10,W6,AB4)</f>
        <v>695275</v>
      </c>
      <c r="AF3" s="227" t="s">
        <v>267</v>
      </c>
      <c r="AG3" s="292"/>
    </row>
    <row r="4" spans="2:33" x14ac:dyDescent="0.2">
      <c r="W4" s="226" t="s">
        <v>123</v>
      </c>
      <c r="X4" s="226"/>
      <c r="AB4" s="246">
        <f>+'Costos China'!Q12</f>
        <v>2380000</v>
      </c>
      <c r="AC4" s="229">
        <f>AE3</f>
        <v>695275</v>
      </c>
    </row>
    <row r="6" spans="2:33" ht="15" x14ac:dyDescent="0.2">
      <c r="W6" s="228"/>
      <c r="X6" s="379" t="s">
        <v>370</v>
      </c>
      <c r="Y6" s="379">
        <f>IF(ABS(1-(AB1+AB6))&lt;=0.00001,AB1*AC4+AB6*AC9,NA())</f>
        <v>680400</v>
      </c>
      <c r="AB6" s="352">
        <v>0.1</v>
      </c>
    </row>
    <row r="7" spans="2:33" x14ac:dyDescent="0.2">
      <c r="AB7" s="226" t="s">
        <v>266</v>
      </c>
    </row>
    <row r="8" spans="2:33" x14ac:dyDescent="0.2">
      <c r="Q8" s="226" t="s">
        <v>125</v>
      </c>
      <c r="R8" s="226"/>
      <c r="S8" s="226"/>
      <c r="AE8" s="227">
        <f>'Costos China'!Q13+SUM(E27,K15,Q10,W6,AB9)</f>
        <v>546525</v>
      </c>
      <c r="AF8" s="227" t="s">
        <v>268</v>
      </c>
      <c r="AG8" s="292"/>
    </row>
    <row r="9" spans="2:33" x14ac:dyDescent="0.2">
      <c r="AB9" s="385">
        <f>-'Costos China'!P13</f>
        <v>-29750</v>
      </c>
      <c r="AC9" s="229">
        <f>AE8</f>
        <v>546525</v>
      </c>
    </row>
    <row r="10" spans="2:33" ht="15" x14ac:dyDescent="0.2">
      <c r="Q10" s="380">
        <f>-'Costos China'!F18</f>
        <v>-200725</v>
      </c>
      <c r="S10" s="379" t="s">
        <v>371</v>
      </c>
      <c r="T10" s="379">
        <f>IF(ABS(1-(W3+W11))&lt;=0.00001,W3*Y6+W11*Y14,NA())</f>
        <v>443887.5</v>
      </c>
    </row>
    <row r="11" spans="2:33" x14ac:dyDescent="0.2">
      <c r="W11" s="352">
        <v>0.1</v>
      </c>
      <c r="X11" s="352"/>
    </row>
    <row r="12" spans="2:33" x14ac:dyDescent="0.2">
      <c r="K12" s="352">
        <v>0.65</v>
      </c>
      <c r="L12" s="352"/>
      <c r="M12" s="352"/>
      <c r="W12" s="226" t="s">
        <v>161</v>
      </c>
      <c r="X12" s="226"/>
    </row>
    <row r="13" spans="2:33" x14ac:dyDescent="0.2">
      <c r="K13" s="226" t="s">
        <v>127</v>
      </c>
      <c r="L13" s="226"/>
      <c r="M13" s="226"/>
      <c r="AE13" s="353">
        <f>SUM(E27,K15,Q10,W14)</f>
        <v>-1684725</v>
      </c>
      <c r="AF13" s="227" t="s">
        <v>269</v>
      </c>
    </row>
    <row r="14" spans="2:33" x14ac:dyDescent="0.2">
      <c r="O14" s="223">
        <f>IF(N15=T10,1,IF(N15=T21,2))</f>
        <v>1</v>
      </c>
      <c r="W14" s="272"/>
      <c r="X14" s="272"/>
      <c r="Y14" s="403">
        <f>AE13</f>
        <v>-1684725</v>
      </c>
    </row>
    <row r="15" spans="2:33" ht="15" x14ac:dyDescent="0.2">
      <c r="K15" s="228">
        <v>0</v>
      </c>
      <c r="L15" s="228"/>
      <c r="M15" s="379" t="s">
        <v>371</v>
      </c>
      <c r="N15" s="379">
        <f>MAX(T10,T21)</f>
        <v>443887.5</v>
      </c>
    </row>
    <row r="16" spans="2:33" x14ac:dyDescent="0.2">
      <c r="W16" s="352">
        <v>0.15</v>
      </c>
      <c r="X16" s="352"/>
    </row>
    <row r="17" spans="5:32" x14ac:dyDescent="0.2">
      <c r="W17" s="226" t="s">
        <v>122</v>
      </c>
      <c r="X17" s="226"/>
    </row>
    <row r="18" spans="5:32" x14ac:dyDescent="0.2">
      <c r="AE18" s="227">
        <f>SUM(E27,K15,Q21,W19)</f>
        <v>896000</v>
      </c>
      <c r="AF18" s="227" t="s">
        <v>270</v>
      </c>
    </row>
    <row r="19" spans="5:32" x14ac:dyDescent="0.2">
      <c r="Q19" s="226" t="s">
        <v>128</v>
      </c>
      <c r="R19" s="226"/>
      <c r="S19" s="226"/>
      <c r="W19" s="246">
        <f>+'Costos China'!Q15</f>
        <v>2380000</v>
      </c>
      <c r="Y19" s="229">
        <f>AE18</f>
        <v>896000</v>
      </c>
    </row>
    <row r="21" spans="5:32" ht="15" x14ac:dyDescent="0.2">
      <c r="Q21" s="228">
        <v>0</v>
      </c>
      <c r="R21" s="228"/>
      <c r="S21" s="379" t="s">
        <v>372</v>
      </c>
      <c r="T21" s="381">
        <f>IF(ABS(1-(W16+W21))&lt;=0.00001,W16*Y19+W21*Y24,NA())</f>
        <v>-115500</v>
      </c>
      <c r="W21" s="352">
        <v>0.85</v>
      </c>
      <c r="X21" s="352"/>
    </row>
    <row r="22" spans="5:32" x14ac:dyDescent="0.2">
      <c r="W22" s="226" t="s">
        <v>318</v>
      </c>
      <c r="X22" s="226"/>
    </row>
    <row r="23" spans="5:32" x14ac:dyDescent="0.2">
      <c r="AE23" s="353">
        <f>'Costos China'!Q16+SUM(E27,K15,Q21,W24)</f>
        <v>-294000</v>
      </c>
      <c r="AF23" s="227" t="s">
        <v>271</v>
      </c>
    </row>
    <row r="24" spans="5:32" x14ac:dyDescent="0.2">
      <c r="W24" s="380">
        <f>-'Costos China'!P16</f>
        <v>-238000</v>
      </c>
      <c r="Y24" s="403">
        <f>AE23</f>
        <v>-294000</v>
      </c>
    </row>
    <row r="25" spans="5:32" x14ac:dyDescent="0.2">
      <c r="E25" s="226" t="s">
        <v>129</v>
      </c>
      <c r="F25" s="226"/>
      <c r="G25" s="226"/>
    </row>
    <row r="26" spans="5:32" x14ac:dyDescent="0.2">
      <c r="AB26" s="351">
        <f>+'Costos China'!AD14</f>
        <v>0.75</v>
      </c>
    </row>
    <row r="27" spans="5:32" ht="15" x14ac:dyDescent="0.2">
      <c r="E27" s="380">
        <f>-'Costo Importar'!I10</f>
        <v>-1484000</v>
      </c>
      <c r="G27" s="379" t="s">
        <v>376</v>
      </c>
      <c r="H27" s="379">
        <f>IF(ABS(1-(K12+K37))&lt;=0.00001,K12*N15+K37*N40,NA())</f>
        <v>362670</v>
      </c>
      <c r="AB27" s="226" t="s">
        <v>122</v>
      </c>
    </row>
    <row r="28" spans="5:32" x14ac:dyDescent="0.2">
      <c r="W28" s="352">
        <v>0.85</v>
      </c>
      <c r="X28" s="352"/>
      <c r="AE28" s="227">
        <f>SUM(E27,K40,Q35,W31,AB29)</f>
        <v>695275</v>
      </c>
      <c r="AF28" s="227" t="s">
        <v>272</v>
      </c>
    </row>
    <row r="29" spans="5:32" x14ac:dyDescent="0.2">
      <c r="W29" s="226" t="s">
        <v>123</v>
      </c>
      <c r="X29" s="226"/>
      <c r="AB29" s="246">
        <f>+'Costos China'!Q18</f>
        <v>2380000</v>
      </c>
      <c r="AC29" s="229">
        <f>AE28</f>
        <v>695275</v>
      </c>
    </row>
    <row r="31" spans="5:32" ht="15" x14ac:dyDescent="0.2">
      <c r="W31" s="228">
        <v>0</v>
      </c>
      <c r="X31" s="379" t="s">
        <v>373</v>
      </c>
      <c r="Y31" s="379">
        <f>IF(ABS(1-(AB26+AB31))&lt;=0.00001,AB26*AC29+AB31*AC34,NA())</f>
        <v>546525</v>
      </c>
      <c r="AB31" s="351">
        <f>+'Costos China'!AD15</f>
        <v>0.25</v>
      </c>
    </row>
    <row r="32" spans="5:32" x14ac:dyDescent="0.2">
      <c r="AB32" s="226" t="s">
        <v>265</v>
      </c>
    </row>
    <row r="33" spans="2:32" x14ac:dyDescent="0.2">
      <c r="Q33" s="226" t="s">
        <v>125</v>
      </c>
      <c r="R33" s="226"/>
      <c r="S33" s="226"/>
      <c r="AE33" s="227">
        <f>'Costos China'!Q19+SUM(E27,K40,Q35,W31,AB34)</f>
        <v>100275</v>
      </c>
      <c r="AF33" s="227" t="s">
        <v>273</v>
      </c>
    </row>
    <row r="34" spans="2:32" x14ac:dyDescent="0.2">
      <c r="AB34" s="385">
        <f>-'Costos China'!P19</f>
        <v>-119000</v>
      </c>
      <c r="AC34" s="229">
        <f>AE33</f>
        <v>100275</v>
      </c>
    </row>
    <row r="35" spans="2:32" ht="15" x14ac:dyDescent="0.2">
      <c r="Q35" s="380">
        <f>-'Costos China'!F18</f>
        <v>-200725</v>
      </c>
      <c r="S35" s="379" t="s">
        <v>374</v>
      </c>
      <c r="T35" s="379">
        <f>IF(ABS(1-(W28+W36))&lt;=0.00001,W28*Y31+W36*Y39,NA())</f>
        <v>211837.5</v>
      </c>
    </row>
    <row r="36" spans="2:32" x14ac:dyDescent="0.2">
      <c r="W36" s="352">
        <v>0.15</v>
      </c>
      <c r="X36" s="352"/>
    </row>
    <row r="37" spans="2:32" x14ac:dyDescent="0.2">
      <c r="K37" s="352">
        <v>0.35</v>
      </c>
      <c r="L37" s="352"/>
      <c r="M37" s="352"/>
      <c r="W37" s="226" t="s">
        <v>161</v>
      </c>
      <c r="X37" s="226"/>
    </row>
    <row r="38" spans="2:32" x14ac:dyDescent="0.2">
      <c r="K38" s="226" t="s">
        <v>158</v>
      </c>
      <c r="L38" s="226"/>
      <c r="M38" s="226"/>
      <c r="AE38" s="353">
        <f>SUM(E27,K40,Q35,W39)</f>
        <v>-1684725</v>
      </c>
      <c r="AF38" s="227" t="s">
        <v>274</v>
      </c>
    </row>
    <row r="39" spans="2:32" x14ac:dyDescent="0.2">
      <c r="O39" s="223">
        <f>IF(N40=T35,1,IF(N40=T46,2))</f>
        <v>1</v>
      </c>
      <c r="W39" s="272"/>
      <c r="X39" s="272"/>
      <c r="Y39" s="403">
        <f>AE38</f>
        <v>-1684725</v>
      </c>
    </row>
    <row r="40" spans="2:32" ht="15" x14ac:dyDescent="0.2">
      <c r="K40" s="228">
        <v>0</v>
      </c>
      <c r="L40" s="228"/>
      <c r="M40" s="379" t="s">
        <v>374</v>
      </c>
      <c r="N40" s="379">
        <f>MAX(T35,T46)</f>
        <v>211837.5</v>
      </c>
    </row>
    <row r="41" spans="2:32" x14ac:dyDescent="0.2">
      <c r="W41" s="352">
        <v>0.05</v>
      </c>
      <c r="X41" s="352"/>
    </row>
    <row r="42" spans="2:32" x14ac:dyDescent="0.2">
      <c r="W42" s="226" t="s">
        <v>122</v>
      </c>
      <c r="X42" s="226"/>
    </row>
    <row r="43" spans="2:32" x14ac:dyDescent="0.2">
      <c r="AE43" s="227">
        <f>SUM(E27,K40,Q46,W44)</f>
        <v>896000</v>
      </c>
      <c r="AF43" s="227" t="s">
        <v>275</v>
      </c>
    </row>
    <row r="44" spans="2:32" x14ac:dyDescent="0.2">
      <c r="Q44" s="226" t="s">
        <v>128</v>
      </c>
      <c r="R44" s="226"/>
      <c r="S44" s="226"/>
      <c r="W44" s="246">
        <f>+'Costos China'!Q21</f>
        <v>2380000</v>
      </c>
      <c r="X44" s="352"/>
      <c r="Y44" s="229">
        <f>AE43</f>
        <v>896000</v>
      </c>
    </row>
    <row r="46" spans="2:32" ht="15" x14ac:dyDescent="0.2">
      <c r="Q46" s="228">
        <v>0</v>
      </c>
      <c r="R46" s="228"/>
      <c r="S46" s="379" t="s">
        <v>375</v>
      </c>
      <c r="T46" s="381">
        <f>IF(ABS(1-(W41+W46))&lt;=0.00001,W41*Y44+W46*Y49,NA())</f>
        <v>-799750</v>
      </c>
      <c r="W46" s="352">
        <v>0.95</v>
      </c>
      <c r="X46" s="352"/>
    </row>
    <row r="47" spans="2:32" x14ac:dyDescent="0.2">
      <c r="W47" s="226" t="s">
        <v>302</v>
      </c>
      <c r="X47" s="226"/>
    </row>
    <row r="48" spans="2:32" x14ac:dyDescent="0.2">
      <c r="B48" s="232"/>
      <c r="AE48" s="353">
        <f>'Costos China'!Q22+SUM(E27,K40,Q46,W49)</f>
        <v>-889000</v>
      </c>
      <c r="AF48" s="227" t="s">
        <v>276</v>
      </c>
    </row>
    <row r="49" spans="1:32" x14ac:dyDescent="0.2">
      <c r="C49" s="223">
        <f>IF(B50=H27,1,IF(B50=H73,2))</f>
        <v>1</v>
      </c>
      <c r="W49" s="380">
        <f>-'Costos China'!P22</f>
        <v>-357000</v>
      </c>
      <c r="Y49" s="403">
        <f>AE48</f>
        <v>-889000</v>
      </c>
    </row>
    <row r="50" spans="1:32" ht="21.75" customHeight="1" x14ac:dyDescent="0.2">
      <c r="A50" s="384" t="s">
        <v>382</v>
      </c>
      <c r="B50" s="384">
        <f>MAX(H27,H73)</f>
        <v>362670</v>
      </c>
    </row>
    <row r="51" spans="1:32" x14ac:dyDescent="0.2">
      <c r="AB51" s="352">
        <v>0.95</v>
      </c>
    </row>
    <row r="52" spans="1:32" x14ac:dyDescent="0.2">
      <c r="AB52" s="226" t="s">
        <v>122</v>
      </c>
    </row>
    <row r="53" spans="1:32" x14ac:dyDescent="0.2">
      <c r="W53" s="352">
        <v>0.9</v>
      </c>
      <c r="X53" s="352"/>
      <c r="AE53" s="227">
        <f>SUM(E73,K65,Q60,W56,AB54)</f>
        <v>514937.5</v>
      </c>
      <c r="AF53" s="227" t="s">
        <v>277</v>
      </c>
    </row>
    <row r="54" spans="1:32" x14ac:dyDescent="0.2">
      <c r="W54" s="226" t="s">
        <v>298</v>
      </c>
      <c r="X54" s="226"/>
      <c r="AB54" s="246">
        <f>+'Costo Importar'!M11</f>
        <v>2380000</v>
      </c>
      <c r="AC54" s="229">
        <f>AE53</f>
        <v>514937.5</v>
      </c>
    </row>
    <row r="56" spans="1:32" ht="15" x14ac:dyDescent="0.2">
      <c r="W56" s="228">
        <v>0</v>
      </c>
      <c r="X56" s="379" t="s">
        <v>377</v>
      </c>
      <c r="Y56" s="379">
        <f>IF(ABS(1-(AB51+AB56))&lt;=0.00001,AB51*AC54+AB56*AC59,NA())</f>
        <v>500062.5</v>
      </c>
      <c r="AB56" s="352">
        <v>0.05</v>
      </c>
    </row>
    <row r="57" spans="1:32" x14ac:dyDescent="0.2">
      <c r="AB57" s="226" t="s">
        <v>300</v>
      </c>
    </row>
    <row r="58" spans="1:32" x14ac:dyDescent="0.2">
      <c r="Q58" s="226" t="s">
        <v>130</v>
      </c>
      <c r="R58" s="226"/>
      <c r="S58" s="226"/>
      <c r="AE58" s="227">
        <f>'Costos Brasil'!V19+SUM(E73,K65,Q60,W56,AB59)</f>
        <v>217437.5</v>
      </c>
      <c r="AF58" s="227" t="s">
        <v>278</v>
      </c>
    </row>
    <row r="59" spans="1:32" x14ac:dyDescent="0.2">
      <c r="AB59" s="380">
        <f>-'Costos Brasil'!U19</f>
        <v>-59500</v>
      </c>
      <c r="AC59" s="229">
        <f>AE58</f>
        <v>217437.5</v>
      </c>
    </row>
    <row r="60" spans="1:32" ht="15" x14ac:dyDescent="0.2">
      <c r="Q60" s="380">
        <f>-'Costos Brasil'!G18</f>
        <v>-141312.5</v>
      </c>
      <c r="S60" s="379" t="s">
        <v>378</v>
      </c>
      <c r="T60" s="379">
        <f>IF(ABS(1-(W53+W61))&lt;=0.00001,W53*Y56+W61*Y64,NA())</f>
        <v>265475</v>
      </c>
    </row>
    <row r="61" spans="1:32" x14ac:dyDescent="0.2">
      <c r="W61" s="352">
        <v>0.1</v>
      </c>
      <c r="X61" s="352"/>
    </row>
    <row r="62" spans="1:32" x14ac:dyDescent="0.2">
      <c r="K62" s="352">
        <v>0.7</v>
      </c>
      <c r="L62" s="352"/>
      <c r="M62" s="352"/>
      <c r="W62" s="226" t="s">
        <v>299</v>
      </c>
      <c r="X62" s="226"/>
    </row>
    <row r="63" spans="1:32" x14ac:dyDescent="0.2">
      <c r="K63" s="226" t="s">
        <v>131</v>
      </c>
      <c r="L63" s="226"/>
      <c r="M63" s="226"/>
      <c r="AE63" s="353">
        <f>+'Costos Brasil'!V20+SUM(E73,K65,Q60,W64)</f>
        <v>-1845812.5</v>
      </c>
      <c r="AF63" s="227" t="s">
        <v>279</v>
      </c>
    </row>
    <row r="64" spans="1:32" x14ac:dyDescent="0.2">
      <c r="O64" s="223">
        <f>IF(N65=T60,1,IF(N65=T71,2))</f>
        <v>2</v>
      </c>
      <c r="W64" s="231">
        <f>+'Costos Brasil'!H18</f>
        <v>19250</v>
      </c>
      <c r="Y64" s="403">
        <f>AE63</f>
        <v>-1845812.5</v>
      </c>
    </row>
    <row r="65" spans="5:32" ht="15" x14ac:dyDescent="0.2">
      <c r="K65" s="380">
        <f>-'Costo Importar'!I11</f>
        <v>-1723750</v>
      </c>
      <c r="M65" s="379" t="s">
        <v>379</v>
      </c>
      <c r="N65" s="379">
        <f>MAX(T60,T71)</f>
        <v>498093.75</v>
      </c>
    </row>
    <row r="66" spans="5:32" x14ac:dyDescent="0.2">
      <c r="W66" s="352">
        <v>0.15</v>
      </c>
      <c r="X66" s="352"/>
    </row>
    <row r="67" spans="5:32" x14ac:dyDescent="0.2">
      <c r="W67" s="226" t="s">
        <v>132</v>
      </c>
      <c r="X67" s="226"/>
    </row>
    <row r="68" spans="5:32" x14ac:dyDescent="0.2">
      <c r="AE68" s="227">
        <f>'Costos Brasil'!V21+SUM(E73,K65,Q71,W69)</f>
        <v>516687.5</v>
      </c>
      <c r="AF68" s="227" t="s">
        <v>280</v>
      </c>
    </row>
    <row r="69" spans="5:32" x14ac:dyDescent="0.2">
      <c r="Q69" s="226" t="s">
        <v>133</v>
      </c>
      <c r="R69" s="226"/>
      <c r="S69" s="226"/>
      <c r="W69" s="228">
        <v>0</v>
      </c>
      <c r="X69" s="228"/>
      <c r="Y69" s="229">
        <f>AE68</f>
        <v>516687.5</v>
      </c>
    </row>
    <row r="71" spans="5:32" ht="15" x14ac:dyDescent="0.2">
      <c r="E71" s="226" t="s">
        <v>134</v>
      </c>
      <c r="F71" s="226"/>
      <c r="G71" s="226"/>
      <c r="Q71" s="380">
        <f>-'Costos Brasil'!H31</f>
        <v>-139562.5</v>
      </c>
      <c r="S71" s="379" t="s">
        <v>379</v>
      </c>
      <c r="T71" s="379">
        <f>IF(ABS(1-(W66+W71))&lt;=0.00001,W66*Y69+W71*Y74,NA())</f>
        <v>498093.75</v>
      </c>
      <c r="W71" s="352">
        <v>0.85</v>
      </c>
      <c r="X71" s="352"/>
    </row>
    <row r="72" spans="5:32" x14ac:dyDescent="0.2">
      <c r="W72" s="226" t="s">
        <v>301</v>
      </c>
      <c r="X72" s="226"/>
    </row>
    <row r="73" spans="5:32" ht="15" x14ac:dyDescent="0.2">
      <c r="E73" s="228">
        <v>0</v>
      </c>
      <c r="F73" s="228"/>
      <c r="G73" s="379" t="s">
        <v>381</v>
      </c>
      <c r="H73" s="379">
        <f>IF(ABS(1-(K62+K78))&lt;=0.00001,K62*N65+K78*N81,NA())</f>
        <v>318744.15000000002</v>
      </c>
      <c r="AE73" s="227">
        <f>'Costos Brasil'!V22+SUM(E73,K65,Q71,W74)</f>
        <v>494812.5</v>
      </c>
      <c r="AF73" s="227" t="s">
        <v>281</v>
      </c>
    </row>
    <row r="74" spans="5:32" x14ac:dyDescent="0.2">
      <c r="W74" s="380">
        <f>-'Costos Brasil'!I31</f>
        <v>-21875</v>
      </c>
      <c r="Y74" s="229">
        <f>AE73</f>
        <v>494812.5</v>
      </c>
    </row>
    <row r="76" spans="5:32" x14ac:dyDescent="0.2">
      <c r="Q76" s="352">
        <v>0.5</v>
      </c>
      <c r="R76" s="352"/>
      <c r="S76" s="352"/>
    </row>
    <row r="77" spans="5:32" x14ac:dyDescent="0.2">
      <c r="Q77" s="226" t="s">
        <v>157</v>
      </c>
      <c r="R77" s="226"/>
      <c r="S77" s="226"/>
    </row>
    <row r="78" spans="5:32" x14ac:dyDescent="0.2">
      <c r="K78" s="352">
        <v>0.3</v>
      </c>
      <c r="L78" s="352"/>
      <c r="M78" s="352"/>
      <c r="AE78" s="227">
        <f>SUM(E73,K81,Q79)</f>
        <v>752500</v>
      </c>
      <c r="AF78" s="227" t="s">
        <v>282</v>
      </c>
    </row>
    <row r="79" spans="5:32" x14ac:dyDescent="0.2">
      <c r="K79" s="226" t="s">
        <v>251</v>
      </c>
      <c r="L79" s="226"/>
      <c r="M79" s="226"/>
      <c r="Q79" s="246">
        <f>+'Costo Importar'!M12</f>
        <v>2380000</v>
      </c>
      <c r="T79" s="229">
        <f>AE78</f>
        <v>752500</v>
      </c>
    </row>
    <row r="81" spans="3:32" ht="15" x14ac:dyDescent="0.2">
      <c r="K81" s="380">
        <f>-'Costo Importar'!I12</f>
        <v>-1627500</v>
      </c>
      <c r="M81" s="382" t="s">
        <v>380</v>
      </c>
      <c r="N81" s="381">
        <f>IF(ABS(1-(Q76+Q81))&lt;=0.00001,Q76*T79+Q81*T84,NA())</f>
        <v>-99738.25</v>
      </c>
      <c r="Q81" s="352">
        <v>0.5</v>
      </c>
      <c r="R81" s="352"/>
      <c r="S81" s="352"/>
    </row>
    <row r="82" spans="3:32" x14ac:dyDescent="0.2">
      <c r="Q82" s="226" t="s">
        <v>156</v>
      </c>
      <c r="R82" s="226"/>
      <c r="S82" s="226"/>
    </row>
    <row r="83" spans="3:32" x14ac:dyDescent="0.2">
      <c r="AE83" s="353">
        <f>SUM(E73,K81,Q84)</f>
        <v>-951976.5</v>
      </c>
      <c r="AF83" s="227" t="s">
        <v>283</v>
      </c>
    </row>
    <row r="84" spans="3:32" ht="15" x14ac:dyDescent="0.25">
      <c r="Q84" s="231">
        <f>'Costos Brasil'!I43</f>
        <v>675523.5</v>
      </c>
      <c r="T84" s="403">
        <f>AE83</f>
        <v>-951976.5</v>
      </c>
      <c r="AE84" s="225"/>
    </row>
    <row r="85" spans="3:32" ht="15" thickBot="1" x14ac:dyDescent="0.25"/>
    <row r="86" spans="3:32" ht="16.5" x14ac:dyDescent="0.3">
      <c r="C86" s="386"/>
      <c r="D86" s="387" t="s">
        <v>383</v>
      </c>
      <c r="E86" s="388"/>
      <c r="F86" s="389"/>
      <c r="G86" s="389"/>
      <c r="H86" s="390"/>
    </row>
    <row r="87" spans="3:32" ht="16.5" x14ac:dyDescent="0.3">
      <c r="C87" s="391"/>
      <c r="D87" s="392"/>
      <c r="E87" s="392"/>
      <c r="F87" s="393"/>
      <c r="G87" s="393"/>
      <c r="H87" s="394"/>
    </row>
    <row r="88" spans="3:32" ht="16.5" x14ac:dyDescent="0.3">
      <c r="C88" s="391"/>
      <c r="D88" s="395"/>
      <c r="E88" s="396" t="s">
        <v>384</v>
      </c>
      <c r="F88" s="393"/>
      <c r="G88" s="393"/>
      <c r="H88" s="394"/>
    </row>
    <row r="89" spans="3:32" ht="16.5" x14ac:dyDescent="0.3">
      <c r="C89" s="391"/>
      <c r="D89" s="392"/>
      <c r="E89" s="392"/>
      <c r="F89" s="393"/>
      <c r="G89" s="393"/>
      <c r="H89" s="394"/>
    </row>
    <row r="90" spans="3:32" ht="16.5" x14ac:dyDescent="0.3">
      <c r="C90" s="391"/>
      <c r="D90" s="397"/>
      <c r="E90" s="392" t="s">
        <v>385</v>
      </c>
      <c r="F90" s="393"/>
      <c r="G90" s="393"/>
      <c r="H90" s="394"/>
    </row>
    <row r="91" spans="3:32" ht="16.5" x14ac:dyDescent="0.3">
      <c r="C91" s="391"/>
      <c r="D91" s="392"/>
      <c r="E91" s="392"/>
      <c r="F91" s="393"/>
      <c r="G91" s="393"/>
      <c r="H91" s="394"/>
    </row>
    <row r="92" spans="3:32" ht="16.5" x14ac:dyDescent="0.3">
      <c r="C92" s="391"/>
      <c r="D92" s="401"/>
      <c r="E92" s="392" t="s">
        <v>386</v>
      </c>
      <c r="F92" s="393"/>
      <c r="G92" s="393"/>
      <c r="H92" s="394"/>
    </row>
    <row r="93" spans="3:32" ht="6.75" customHeight="1" thickBot="1" x14ac:dyDescent="0.25">
      <c r="C93" s="398"/>
      <c r="D93" s="399"/>
      <c r="E93" s="399"/>
      <c r="F93" s="399"/>
      <c r="G93" s="399"/>
      <c r="H93" s="400"/>
    </row>
    <row r="94" spans="3:32" ht="6.75" customHeight="1" x14ac:dyDescent="0.2"/>
    <row r="1000" spans="197:212" x14ac:dyDescent="0.2">
      <c r="GP1000" s="233" t="s">
        <v>137</v>
      </c>
      <c r="GQ1000" s="233" t="s">
        <v>138</v>
      </c>
      <c r="GR1000" s="233" t="s">
        <v>139</v>
      </c>
      <c r="GS1000" s="233" t="s">
        <v>140</v>
      </c>
      <c r="GT1000" s="233" t="s">
        <v>141</v>
      </c>
      <c r="GU1000" s="233" t="s">
        <v>142</v>
      </c>
      <c r="GV1000" s="233" t="s">
        <v>143</v>
      </c>
      <c r="GW1000" s="233" t="s">
        <v>144</v>
      </c>
      <c r="GX1000" s="233" t="s">
        <v>145</v>
      </c>
      <c r="GY1000" s="233" t="s">
        <v>146</v>
      </c>
      <c r="GZ1000" s="233" t="s">
        <v>147</v>
      </c>
      <c r="HA1000" s="233" t="s">
        <v>148</v>
      </c>
      <c r="HB1000" s="233" t="s">
        <v>149</v>
      </c>
      <c r="HC1000" s="233" t="s">
        <v>150</v>
      </c>
      <c r="HD1000" s="233" t="s">
        <v>151</v>
      </c>
    </row>
    <row r="1001" spans="197:212" x14ac:dyDescent="0.2">
      <c r="GO1001" s="223">
        <v>0</v>
      </c>
      <c r="GP1001" s="233">
        <v>0</v>
      </c>
      <c r="GQ1001" s="233" t="s">
        <v>152</v>
      </c>
      <c r="GR1001" s="233">
        <v>0</v>
      </c>
      <c r="GS1001" s="233">
        <v>0</v>
      </c>
      <c r="GT1001" s="233">
        <v>0</v>
      </c>
      <c r="GU1001" s="233" t="s">
        <v>153</v>
      </c>
      <c r="GV1001" s="233">
        <v>2</v>
      </c>
      <c r="GW1001" s="233">
        <v>17</v>
      </c>
      <c r="GX1001" s="233">
        <v>8</v>
      </c>
      <c r="GY1001" s="233">
        <v>0</v>
      </c>
      <c r="GZ1001" s="233">
        <v>0</v>
      </c>
      <c r="HA1001" s="233">
        <v>0</v>
      </c>
      <c r="HB1001" s="234">
        <v>48</v>
      </c>
      <c r="HC1001" s="234">
        <v>1</v>
      </c>
      <c r="HD1001" s="234" t="b">
        <v>1</v>
      </c>
    </row>
    <row r="1002" spans="197:212" x14ac:dyDescent="0.2">
      <c r="GO1002" s="223">
        <v>25</v>
      </c>
      <c r="GP1002" s="233">
        <v>1</v>
      </c>
      <c r="GT1002" s="233">
        <v>7</v>
      </c>
      <c r="GU1002" s="233" t="s">
        <v>154</v>
      </c>
      <c r="GV1002" s="233">
        <v>0</v>
      </c>
      <c r="GW1002" s="233">
        <v>0</v>
      </c>
      <c r="GX1002" s="233">
        <v>0</v>
      </c>
      <c r="GY1002" s="233">
        <v>0</v>
      </c>
      <c r="GZ1002" s="233">
        <v>0</v>
      </c>
      <c r="HA1002" s="233">
        <v>0</v>
      </c>
      <c r="HB1002" s="234">
        <v>7</v>
      </c>
      <c r="HC1002" s="234">
        <v>21</v>
      </c>
      <c r="HD1002" s="234" t="b">
        <v>1</v>
      </c>
    </row>
    <row r="1003" spans="197:212" x14ac:dyDescent="0.2">
      <c r="GO1003" s="223">
        <v>26</v>
      </c>
      <c r="GP1003" s="233">
        <v>2</v>
      </c>
      <c r="GT1003" s="233">
        <v>7</v>
      </c>
      <c r="GU1003" s="233" t="s">
        <v>154</v>
      </c>
      <c r="GV1003" s="233">
        <v>0</v>
      </c>
      <c r="GW1003" s="233">
        <v>0</v>
      </c>
      <c r="GX1003" s="233">
        <v>0</v>
      </c>
      <c r="GY1003" s="233">
        <v>0</v>
      </c>
      <c r="GZ1003" s="233">
        <v>0</v>
      </c>
      <c r="HA1003" s="233">
        <v>0</v>
      </c>
      <c r="HB1003" s="234">
        <v>2</v>
      </c>
      <c r="HC1003" s="234">
        <v>21</v>
      </c>
      <c r="HD1003" s="234" t="b">
        <v>1</v>
      </c>
    </row>
    <row r="1004" spans="197:212" x14ac:dyDescent="0.2">
      <c r="GO1004" s="223">
        <v>27</v>
      </c>
      <c r="GP1004" s="223">
        <v>3</v>
      </c>
      <c r="GT1004" s="223">
        <v>22</v>
      </c>
      <c r="GU1004" s="223" t="s">
        <v>154</v>
      </c>
      <c r="GV1004" s="223">
        <v>0</v>
      </c>
      <c r="GW1004" s="223">
        <v>0</v>
      </c>
      <c r="GX1004" s="223">
        <v>0</v>
      </c>
      <c r="GY1004" s="223">
        <v>0</v>
      </c>
      <c r="GZ1004" s="223">
        <v>0</v>
      </c>
      <c r="HA1004" s="223">
        <v>0</v>
      </c>
      <c r="HB1004" s="223">
        <v>17</v>
      </c>
      <c r="HC1004" s="223">
        <v>17</v>
      </c>
      <c r="HD1004" s="223" t="b">
        <v>1</v>
      </c>
    </row>
    <row r="1005" spans="197:212" x14ac:dyDescent="0.2">
      <c r="GO1005" s="223">
        <v>28</v>
      </c>
      <c r="GP1005" s="223">
        <v>4</v>
      </c>
      <c r="GT1005" s="223">
        <v>19</v>
      </c>
      <c r="GU1005" s="223" t="s">
        <v>154</v>
      </c>
      <c r="GV1005" s="223">
        <v>0</v>
      </c>
      <c r="GW1005" s="223">
        <v>0</v>
      </c>
      <c r="GX1005" s="223">
        <v>0</v>
      </c>
      <c r="GY1005" s="223">
        <v>0</v>
      </c>
      <c r="GZ1005" s="223">
        <v>0</v>
      </c>
      <c r="HA1005" s="223">
        <v>0</v>
      </c>
      <c r="HB1005" s="223">
        <v>12</v>
      </c>
      <c r="HC1005" s="223">
        <v>17</v>
      </c>
      <c r="HD1005" s="223" t="b">
        <v>1</v>
      </c>
    </row>
    <row r="1006" spans="197:212" x14ac:dyDescent="0.2">
      <c r="GO1006" s="223">
        <v>0</v>
      </c>
      <c r="GP1006" s="223">
        <v>5</v>
      </c>
      <c r="GT1006" s="223">
        <v>15</v>
      </c>
      <c r="GU1006" s="223" t="s">
        <v>154</v>
      </c>
      <c r="GV1006" s="223">
        <v>0</v>
      </c>
      <c r="GW1006" s="223">
        <v>0</v>
      </c>
      <c r="GX1006" s="223">
        <v>0</v>
      </c>
      <c r="GY1006" s="223">
        <v>0</v>
      </c>
      <c r="GZ1006" s="223">
        <v>0</v>
      </c>
      <c r="HA1006" s="223">
        <v>0</v>
      </c>
      <c r="HB1006" s="223">
        <v>82</v>
      </c>
      <c r="HC1006" s="223">
        <v>13</v>
      </c>
      <c r="HD1006" s="223" t="b">
        <v>1</v>
      </c>
    </row>
    <row r="1007" spans="197:212" x14ac:dyDescent="0.2">
      <c r="GO1007" s="223">
        <v>0</v>
      </c>
      <c r="GP1007" s="223">
        <v>6</v>
      </c>
      <c r="GT1007" s="223">
        <v>15</v>
      </c>
      <c r="GU1007" s="223" t="s">
        <v>154</v>
      </c>
      <c r="GV1007" s="223">
        <v>0</v>
      </c>
      <c r="GW1007" s="223">
        <v>0</v>
      </c>
      <c r="GX1007" s="223">
        <v>0</v>
      </c>
      <c r="GY1007" s="223">
        <v>0</v>
      </c>
      <c r="GZ1007" s="223">
        <v>0</v>
      </c>
      <c r="HA1007" s="223">
        <v>0</v>
      </c>
      <c r="HB1007" s="223">
        <v>77</v>
      </c>
      <c r="HC1007" s="223">
        <v>13</v>
      </c>
      <c r="HD1007" s="223" t="b">
        <v>1</v>
      </c>
    </row>
    <row r="1008" spans="197:212" x14ac:dyDescent="0.2">
      <c r="GO1008" s="223">
        <v>29</v>
      </c>
      <c r="GP1008" s="223">
        <v>7</v>
      </c>
      <c r="GT1008" s="223">
        <v>19</v>
      </c>
      <c r="GU1008" s="223" t="s">
        <v>155</v>
      </c>
      <c r="GV1008" s="223">
        <v>2</v>
      </c>
      <c r="GW1008" s="223">
        <v>2</v>
      </c>
      <c r="GX1008" s="223">
        <v>1</v>
      </c>
      <c r="GY1008" s="223">
        <v>0</v>
      </c>
      <c r="GZ1008" s="223">
        <v>0</v>
      </c>
      <c r="HA1008" s="223">
        <v>0</v>
      </c>
      <c r="HB1008" s="223">
        <v>4</v>
      </c>
      <c r="HC1008" s="223">
        <v>17</v>
      </c>
      <c r="HD1008" s="223" t="b">
        <v>1</v>
      </c>
    </row>
    <row r="1009" spans="197:212" x14ac:dyDescent="0.2">
      <c r="GO1009" s="223">
        <v>0</v>
      </c>
      <c r="GP1009" s="223">
        <v>8</v>
      </c>
      <c r="GS1009" s="223">
        <v>0</v>
      </c>
      <c r="GT1009" s="223">
        <v>0</v>
      </c>
      <c r="GU1009" s="223" t="s">
        <v>155</v>
      </c>
      <c r="GV1009" s="223">
        <v>2</v>
      </c>
      <c r="GW1009" s="223">
        <v>16</v>
      </c>
      <c r="GX1009" s="223">
        <v>15</v>
      </c>
      <c r="GY1009" s="223">
        <v>0</v>
      </c>
      <c r="GZ1009" s="223">
        <v>0</v>
      </c>
      <c r="HA1009" s="223">
        <v>0</v>
      </c>
      <c r="HB1009" s="223">
        <v>71</v>
      </c>
      <c r="HC1009" s="223">
        <v>5</v>
      </c>
      <c r="HD1009" s="223" t="b">
        <v>1</v>
      </c>
    </row>
    <row r="1010" spans="197:212" x14ac:dyDescent="0.2">
      <c r="GO1010" s="223">
        <v>0</v>
      </c>
      <c r="GP1010" s="223">
        <v>9</v>
      </c>
      <c r="GT1010" s="223">
        <v>13</v>
      </c>
      <c r="GU1010" s="223" t="s">
        <v>154</v>
      </c>
      <c r="GV1010" s="223">
        <v>0</v>
      </c>
      <c r="GW1010" s="223">
        <v>0</v>
      </c>
      <c r="GX1010" s="223">
        <v>0</v>
      </c>
      <c r="GY1010" s="223">
        <v>0</v>
      </c>
      <c r="GZ1010" s="223">
        <v>0</v>
      </c>
      <c r="HA1010" s="223">
        <v>0</v>
      </c>
      <c r="HB1010" s="223">
        <v>72</v>
      </c>
      <c r="HC1010" s="223">
        <v>17</v>
      </c>
      <c r="HD1010" s="223" t="b">
        <v>1</v>
      </c>
    </row>
    <row r="1011" spans="197:212" x14ac:dyDescent="0.2">
      <c r="GO1011" s="223">
        <v>0</v>
      </c>
      <c r="GP1011" s="223">
        <v>10</v>
      </c>
      <c r="GT1011" s="223">
        <v>13</v>
      </c>
      <c r="GU1011" s="223" t="s">
        <v>154</v>
      </c>
      <c r="GV1011" s="223">
        <v>0</v>
      </c>
      <c r="GW1011" s="223">
        <v>0</v>
      </c>
      <c r="GX1011" s="223">
        <v>0</v>
      </c>
      <c r="GY1011" s="223">
        <v>0</v>
      </c>
      <c r="GZ1011" s="223">
        <v>0</v>
      </c>
      <c r="HA1011" s="223">
        <v>0</v>
      </c>
      <c r="HB1011" s="223">
        <v>67</v>
      </c>
      <c r="HC1011" s="223">
        <v>17</v>
      </c>
      <c r="HD1011" s="223" t="b">
        <v>1</v>
      </c>
    </row>
    <row r="1012" spans="197:212" x14ac:dyDescent="0.2">
      <c r="GO1012" s="223">
        <v>0</v>
      </c>
      <c r="GP1012" s="223">
        <v>11</v>
      </c>
      <c r="GT1012" s="223">
        <v>14</v>
      </c>
      <c r="GU1012" s="223" t="s">
        <v>154</v>
      </c>
      <c r="GV1012" s="223">
        <v>0</v>
      </c>
      <c r="GW1012" s="223">
        <v>0</v>
      </c>
      <c r="GX1012" s="223">
        <v>0</v>
      </c>
      <c r="GY1012" s="223">
        <v>0</v>
      </c>
      <c r="GZ1012" s="223">
        <v>0</v>
      </c>
      <c r="HA1012" s="223">
        <v>0</v>
      </c>
      <c r="HB1012" s="223">
        <v>62</v>
      </c>
      <c r="HC1012" s="223">
        <v>17</v>
      </c>
      <c r="HD1012" s="223" t="b">
        <v>1</v>
      </c>
    </row>
    <row r="1013" spans="197:212" x14ac:dyDescent="0.2">
      <c r="GO1013" s="223">
        <v>0</v>
      </c>
      <c r="GP1013" s="223">
        <v>12</v>
      </c>
      <c r="GT1013" s="223">
        <v>14</v>
      </c>
      <c r="GU1013" s="223" t="s">
        <v>155</v>
      </c>
      <c r="GV1013" s="223">
        <v>2</v>
      </c>
      <c r="GW1013" s="223">
        <v>23</v>
      </c>
      <c r="GX1013" s="223">
        <v>20</v>
      </c>
      <c r="GY1013" s="223">
        <v>0</v>
      </c>
      <c r="GZ1013" s="223">
        <v>0</v>
      </c>
      <c r="HA1013" s="223">
        <v>0</v>
      </c>
      <c r="HB1013" s="223">
        <v>54</v>
      </c>
      <c r="HC1013" s="223">
        <v>17</v>
      </c>
      <c r="HD1013" s="223" t="b">
        <v>1</v>
      </c>
    </row>
    <row r="1014" spans="197:212" x14ac:dyDescent="0.2">
      <c r="GO1014" s="223">
        <v>0</v>
      </c>
      <c r="GP1014" s="223">
        <v>13</v>
      </c>
      <c r="GS1014" s="223">
        <v>0</v>
      </c>
      <c r="GT1014" s="223">
        <v>16</v>
      </c>
      <c r="GU1014" s="223" t="s">
        <v>155</v>
      </c>
      <c r="GV1014" s="223">
        <v>2</v>
      </c>
      <c r="GW1014" s="223">
        <v>10</v>
      </c>
      <c r="GX1014" s="223">
        <v>9</v>
      </c>
      <c r="GY1014" s="223">
        <v>0</v>
      </c>
      <c r="GZ1014" s="223">
        <v>0</v>
      </c>
      <c r="HA1014" s="223">
        <v>0</v>
      </c>
      <c r="HB1014" s="223">
        <v>69</v>
      </c>
      <c r="HC1014" s="223">
        <v>13</v>
      </c>
      <c r="HD1014" s="223" t="b">
        <v>1</v>
      </c>
    </row>
    <row r="1015" spans="197:212" x14ac:dyDescent="0.2">
      <c r="GO1015" s="223">
        <v>0</v>
      </c>
      <c r="GP1015" s="223">
        <v>14</v>
      </c>
      <c r="GS1015" s="223">
        <v>0</v>
      </c>
      <c r="GT1015" s="223">
        <v>16</v>
      </c>
      <c r="GU1015" s="223" t="s">
        <v>155</v>
      </c>
      <c r="GV1015" s="223">
        <v>2</v>
      </c>
      <c r="GW1015" s="223">
        <v>12</v>
      </c>
      <c r="GX1015" s="223">
        <v>11</v>
      </c>
      <c r="GY1015" s="223">
        <v>0</v>
      </c>
      <c r="GZ1015" s="223">
        <v>0</v>
      </c>
      <c r="HA1015" s="223">
        <v>0</v>
      </c>
      <c r="HB1015" s="223">
        <v>58</v>
      </c>
      <c r="HC1015" s="223">
        <v>13</v>
      </c>
      <c r="HD1015" s="223" t="b">
        <v>1</v>
      </c>
    </row>
    <row r="1016" spans="197:212" x14ac:dyDescent="0.2">
      <c r="GO1016" s="223">
        <v>0</v>
      </c>
      <c r="GP1016" s="223">
        <v>15</v>
      </c>
      <c r="GT1016" s="223">
        <v>8</v>
      </c>
      <c r="GU1016" s="223" t="s">
        <v>155</v>
      </c>
      <c r="GV1016" s="223">
        <v>2</v>
      </c>
      <c r="GW1016" s="223">
        <v>6</v>
      </c>
      <c r="GX1016" s="223">
        <v>5</v>
      </c>
      <c r="GY1016" s="223">
        <v>0</v>
      </c>
      <c r="GZ1016" s="223">
        <v>0</v>
      </c>
      <c r="HA1016" s="223">
        <v>0</v>
      </c>
      <c r="HB1016" s="223">
        <v>79</v>
      </c>
      <c r="HC1016" s="223">
        <v>9</v>
      </c>
      <c r="HD1016" s="223" t="b">
        <v>1</v>
      </c>
    </row>
    <row r="1017" spans="197:212" x14ac:dyDescent="0.2">
      <c r="GO1017" s="223">
        <v>0</v>
      </c>
      <c r="GP1017" s="223">
        <v>16</v>
      </c>
      <c r="GT1017" s="223">
        <v>8</v>
      </c>
      <c r="GU1017" s="223" t="s">
        <v>153</v>
      </c>
      <c r="GV1017" s="223">
        <v>2</v>
      </c>
      <c r="GW1017" s="223">
        <v>14</v>
      </c>
      <c r="GX1017" s="223">
        <v>13</v>
      </c>
      <c r="GY1017" s="223">
        <v>0</v>
      </c>
      <c r="GZ1017" s="223">
        <v>0</v>
      </c>
      <c r="HA1017" s="223">
        <v>0</v>
      </c>
      <c r="HB1017" s="223">
        <v>63</v>
      </c>
      <c r="HC1017" s="223">
        <v>9</v>
      </c>
      <c r="HD1017" s="223" t="b">
        <v>1</v>
      </c>
    </row>
    <row r="1018" spans="197:212" x14ac:dyDescent="0.2">
      <c r="GO1018" s="223">
        <v>0</v>
      </c>
      <c r="GP1018" s="223">
        <v>17</v>
      </c>
      <c r="GS1018" s="223">
        <v>0</v>
      </c>
      <c r="GT1018" s="223">
        <v>0</v>
      </c>
      <c r="GU1018" s="223" t="s">
        <v>155</v>
      </c>
      <c r="GV1018" s="223">
        <v>2</v>
      </c>
      <c r="GW1018" s="223">
        <v>21</v>
      </c>
      <c r="GX1018" s="223">
        <v>24</v>
      </c>
      <c r="GY1018" s="223">
        <v>0</v>
      </c>
      <c r="GZ1018" s="223">
        <v>0</v>
      </c>
      <c r="HA1018" s="223">
        <v>0</v>
      </c>
      <c r="HB1018" s="223">
        <v>25</v>
      </c>
      <c r="HC1018" s="223">
        <v>5</v>
      </c>
      <c r="HD1018" s="223" t="b">
        <v>1</v>
      </c>
    </row>
    <row r="1019" spans="197:212" x14ac:dyDescent="0.2">
      <c r="GO1019" s="223">
        <v>30</v>
      </c>
      <c r="GP1019" s="223">
        <v>18</v>
      </c>
      <c r="GT1019" s="223">
        <v>22</v>
      </c>
      <c r="GU1019" s="223" t="s">
        <v>154</v>
      </c>
      <c r="GV1019" s="223">
        <v>0</v>
      </c>
      <c r="GW1019" s="223">
        <v>0</v>
      </c>
      <c r="GX1019" s="223">
        <v>0</v>
      </c>
      <c r="GY1019" s="223">
        <v>0</v>
      </c>
      <c r="GZ1019" s="223">
        <v>0</v>
      </c>
      <c r="HA1019" s="223">
        <v>0</v>
      </c>
      <c r="HB1019" s="223">
        <v>22</v>
      </c>
      <c r="HC1019" s="223">
        <v>17</v>
      </c>
      <c r="HD1019" s="223" t="b">
        <v>1</v>
      </c>
    </row>
    <row r="1020" spans="197:212" x14ac:dyDescent="0.2">
      <c r="GO1020" s="223">
        <v>31</v>
      </c>
      <c r="GP1020" s="223">
        <v>19</v>
      </c>
      <c r="GS1020" s="223">
        <v>0</v>
      </c>
      <c r="GT1020" s="223">
        <v>21</v>
      </c>
      <c r="GU1020" s="223" t="s">
        <v>155</v>
      </c>
      <c r="GV1020" s="223">
        <v>2</v>
      </c>
      <c r="GW1020" s="223">
        <v>7</v>
      </c>
      <c r="GX1020" s="223">
        <v>4</v>
      </c>
      <c r="GY1020" s="223">
        <v>0</v>
      </c>
      <c r="GZ1020" s="223">
        <v>0</v>
      </c>
      <c r="HA1020" s="223">
        <v>0</v>
      </c>
      <c r="HB1020" s="223">
        <v>8</v>
      </c>
      <c r="HC1020" s="223">
        <v>13</v>
      </c>
      <c r="HD1020" s="223" t="b">
        <v>1</v>
      </c>
    </row>
    <row r="1021" spans="197:212" x14ac:dyDescent="0.2">
      <c r="GO1021" s="223">
        <v>0</v>
      </c>
      <c r="GP1021" s="223">
        <v>20</v>
      </c>
      <c r="GT1021" s="223">
        <v>12</v>
      </c>
      <c r="GU1021" s="223" t="s">
        <v>154</v>
      </c>
      <c r="GV1021" s="223">
        <v>0</v>
      </c>
      <c r="GW1021" s="223">
        <v>0</v>
      </c>
      <c r="GX1021" s="223">
        <v>0</v>
      </c>
      <c r="GY1021" s="223">
        <v>0</v>
      </c>
      <c r="GZ1021" s="223">
        <v>0</v>
      </c>
      <c r="HA1021" s="223">
        <v>0</v>
      </c>
      <c r="HB1021" s="223">
        <v>57</v>
      </c>
      <c r="HC1021" s="223">
        <v>21</v>
      </c>
      <c r="HD1021" s="223" t="b">
        <v>1</v>
      </c>
    </row>
    <row r="1022" spans="197:212" x14ac:dyDescent="0.2">
      <c r="GO1022" s="223">
        <v>24</v>
      </c>
      <c r="GP1022" s="223">
        <v>21</v>
      </c>
      <c r="GT1022" s="223">
        <v>17</v>
      </c>
      <c r="GU1022" s="223" t="s">
        <v>153</v>
      </c>
      <c r="GV1022" s="223">
        <v>2</v>
      </c>
      <c r="GW1022" s="223">
        <v>19</v>
      </c>
      <c r="GX1022" s="223">
        <v>22</v>
      </c>
      <c r="GY1022" s="223">
        <v>0</v>
      </c>
      <c r="GZ1022" s="223">
        <v>0</v>
      </c>
      <c r="HA1022" s="223">
        <v>0</v>
      </c>
      <c r="HB1022" s="223">
        <v>13</v>
      </c>
      <c r="HC1022" s="223">
        <v>9</v>
      </c>
      <c r="HD1022" s="223" t="b">
        <v>1</v>
      </c>
    </row>
    <row r="1023" spans="197:212" x14ac:dyDescent="0.2">
      <c r="GO1023" s="223">
        <v>32</v>
      </c>
      <c r="GP1023" s="223">
        <v>22</v>
      </c>
      <c r="GS1023" s="223">
        <v>0</v>
      </c>
      <c r="GT1023" s="223">
        <v>21</v>
      </c>
      <c r="GU1023" s="223" t="s">
        <v>155</v>
      </c>
      <c r="GV1023" s="223">
        <v>2</v>
      </c>
      <c r="GW1023" s="223">
        <v>3</v>
      </c>
      <c r="GX1023" s="223">
        <v>18</v>
      </c>
      <c r="GY1023" s="223">
        <v>0</v>
      </c>
      <c r="GZ1023" s="223">
        <v>0</v>
      </c>
      <c r="HA1023" s="223">
        <v>0</v>
      </c>
      <c r="HB1023" s="223">
        <v>19</v>
      </c>
      <c r="HC1023" s="223">
        <v>13</v>
      </c>
      <c r="HD1023" s="223" t="b">
        <v>1</v>
      </c>
    </row>
    <row r="1024" spans="197:212" x14ac:dyDescent="0.2">
      <c r="GO1024" s="223">
        <v>0</v>
      </c>
      <c r="GP1024" s="223">
        <v>23</v>
      </c>
      <c r="GT1024" s="223">
        <v>12</v>
      </c>
      <c r="GU1024" s="223" t="s">
        <v>154</v>
      </c>
      <c r="GV1024" s="223">
        <v>0</v>
      </c>
      <c r="GW1024" s="223">
        <v>0</v>
      </c>
      <c r="GX1024" s="223">
        <v>0</v>
      </c>
      <c r="GY1024" s="223">
        <v>0</v>
      </c>
      <c r="GZ1024" s="223">
        <v>0</v>
      </c>
      <c r="HA1024" s="223">
        <v>0</v>
      </c>
      <c r="HB1024" s="223">
        <v>52</v>
      </c>
      <c r="HC1024" s="223">
        <v>21</v>
      </c>
      <c r="HD1024" s="223" t="b">
        <v>1</v>
      </c>
    </row>
    <row r="1025" spans="197:212" x14ac:dyDescent="0.2">
      <c r="GO1025" s="223">
        <v>0</v>
      </c>
      <c r="GP1025" s="223">
        <v>24</v>
      </c>
      <c r="GT1025" s="223">
        <v>17</v>
      </c>
      <c r="GU1025" s="223" t="s">
        <v>153</v>
      </c>
      <c r="GV1025" s="223">
        <v>2</v>
      </c>
      <c r="GW1025" s="223">
        <v>31</v>
      </c>
      <c r="GX1025" s="223">
        <v>32</v>
      </c>
      <c r="GY1025" s="223">
        <v>0</v>
      </c>
      <c r="GZ1025" s="223">
        <v>0</v>
      </c>
      <c r="HA1025" s="223">
        <v>0</v>
      </c>
      <c r="HB1025" s="223">
        <v>38</v>
      </c>
      <c r="HC1025" s="223">
        <v>9</v>
      </c>
      <c r="HD1025" s="223" t="b">
        <v>1</v>
      </c>
    </row>
    <row r="1026" spans="197:212" x14ac:dyDescent="0.2">
      <c r="GP1026" s="223">
        <v>25</v>
      </c>
      <c r="GT1026" s="223">
        <v>29</v>
      </c>
      <c r="GU1026" s="233" t="s">
        <v>154</v>
      </c>
      <c r="GV1026" s="233">
        <v>0</v>
      </c>
      <c r="GW1026" s="223">
        <v>0</v>
      </c>
      <c r="GX1026" s="223">
        <v>0</v>
      </c>
      <c r="GY1026" s="223">
        <v>0</v>
      </c>
      <c r="GZ1026" s="223">
        <v>0</v>
      </c>
      <c r="HA1026" s="223">
        <v>0</v>
      </c>
      <c r="HB1026" s="223">
        <v>32</v>
      </c>
      <c r="HC1026" s="223">
        <v>21</v>
      </c>
      <c r="HD1026" s="223" t="b">
        <v>1</v>
      </c>
    </row>
    <row r="1027" spans="197:212" x14ac:dyDescent="0.2">
      <c r="GP1027" s="223">
        <v>26</v>
      </c>
      <c r="GT1027" s="223">
        <v>29</v>
      </c>
      <c r="GU1027" s="233" t="s">
        <v>154</v>
      </c>
      <c r="GV1027" s="233">
        <v>0</v>
      </c>
      <c r="GW1027" s="223">
        <v>0</v>
      </c>
      <c r="GX1027" s="223">
        <v>0</v>
      </c>
      <c r="GY1027" s="223">
        <v>0</v>
      </c>
      <c r="GZ1027" s="223">
        <v>0</v>
      </c>
      <c r="HA1027" s="223">
        <v>0</v>
      </c>
      <c r="HB1027" s="223">
        <v>27</v>
      </c>
      <c r="HC1027" s="223">
        <v>21</v>
      </c>
      <c r="HD1027" s="223" t="b">
        <v>1</v>
      </c>
    </row>
    <row r="1028" spans="197:212" x14ac:dyDescent="0.2">
      <c r="GP1028" s="223">
        <v>27</v>
      </c>
      <c r="GT1028" s="223">
        <v>32</v>
      </c>
      <c r="GU1028" s="223" t="s">
        <v>154</v>
      </c>
      <c r="GV1028" s="223">
        <v>0</v>
      </c>
      <c r="GW1028" s="223">
        <v>0</v>
      </c>
      <c r="GX1028" s="223">
        <v>0</v>
      </c>
      <c r="GY1028" s="223">
        <v>0</v>
      </c>
      <c r="GZ1028" s="223">
        <v>0</v>
      </c>
      <c r="HA1028" s="223">
        <v>0</v>
      </c>
      <c r="HB1028" s="223">
        <v>42</v>
      </c>
      <c r="HC1028" s="223">
        <v>17</v>
      </c>
      <c r="HD1028" s="223" t="b">
        <v>1</v>
      </c>
    </row>
    <row r="1029" spans="197:212" x14ac:dyDescent="0.2">
      <c r="GP1029" s="223">
        <v>28</v>
      </c>
      <c r="GT1029" s="223">
        <v>31</v>
      </c>
      <c r="GU1029" s="223" t="s">
        <v>154</v>
      </c>
      <c r="GV1029" s="223">
        <v>0</v>
      </c>
      <c r="GW1029" s="223">
        <v>0</v>
      </c>
      <c r="GX1029" s="223">
        <v>0</v>
      </c>
      <c r="GY1029" s="223">
        <v>0</v>
      </c>
      <c r="GZ1029" s="223">
        <v>0</v>
      </c>
      <c r="HA1029" s="223">
        <v>0</v>
      </c>
      <c r="HB1029" s="223">
        <v>37</v>
      </c>
      <c r="HC1029" s="223">
        <v>17</v>
      </c>
      <c r="HD1029" s="223" t="b">
        <v>1</v>
      </c>
    </row>
    <row r="1030" spans="197:212" x14ac:dyDescent="0.2">
      <c r="GP1030" s="223">
        <v>29</v>
      </c>
      <c r="GT1030" s="223">
        <v>31</v>
      </c>
      <c r="GU1030" s="223" t="s">
        <v>155</v>
      </c>
      <c r="GV1030" s="223">
        <v>2</v>
      </c>
      <c r="GW1030" s="223">
        <v>26</v>
      </c>
      <c r="GX1030" s="223">
        <v>25</v>
      </c>
      <c r="GY1030" s="223">
        <v>0</v>
      </c>
      <c r="GZ1030" s="223">
        <v>0</v>
      </c>
      <c r="HA1030" s="223">
        <v>0</v>
      </c>
      <c r="HB1030" s="223">
        <v>29</v>
      </c>
      <c r="HC1030" s="223">
        <v>17</v>
      </c>
      <c r="HD1030" s="223" t="b">
        <v>1</v>
      </c>
    </row>
    <row r="1031" spans="197:212" x14ac:dyDescent="0.2">
      <c r="GP1031" s="223">
        <v>30</v>
      </c>
      <c r="GT1031" s="223">
        <v>32</v>
      </c>
      <c r="GU1031" s="223" t="s">
        <v>154</v>
      </c>
      <c r="GV1031" s="223">
        <v>0</v>
      </c>
      <c r="GW1031" s="223">
        <v>0</v>
      </c>
      <c r="GX1031" s="223">
        <v>0</v>
      </c>
      <c r="GY1031" s="223">
        <v>0</v>
      </c>
      <c r="GZ1031" s="223">
        <v>0</v>
      </c>
      <c r="HA1031" s="223">
        <v>0</v>
      </c>
      <c r="HB1031" s="223">
        <v>47</v>
      </c>
      <c r="HC1031" s="223">
        <v>17</v>
      </c>
      <c r="HD1031" s="223" t="b">
        <v>1</v>
      </c>
    </row>
    <row r="1032" spans="197:212" x14ac:dyDescent="0.2">
      <c r="GP1032" s="223">
        <v>31</v>
      </c>
      <c r="GS1032" s="223">
        <v>0</v>
      </c>
      <c r="GT1032" s="223">
        <v>24</v>
      </c>
      <c r="GU1032" s="223" t="s">
        <v>155</v>
      </c>
      <c r="GV1032" s="223">
        <v>2</v>
      </c>
      <c r="GW1032" s="223">
        <v>29</v>
      </c>
      <c r="GX1032" s="223">
        <v>28</v>
      </c>
      <c r="GY1032" s="223">
        <v>0</v>
      </c>
      <c r="GZ1032" s="223">
        <v>0</v>
      </c>
      <c r="HA1032" s="223">
        <v>0</v>
      </c>
      <c r="HB1032" s="223">
        <v>33</v>
      </c>
      <c r="HC1032" s="223">
        <v>13</v>
      </c>
      <c r="HD1032" s="223" t="b">
        <v>1</v>
      </c>
    </row>
    <row r="1033" spans="197:212" x14ac:dyDescent="0.2">
      <c r="GP1033" s="223">
        <v>32</v>
      </c>
      <c r="GS1033" s="223">
        <v>0</v>
      </c>
      <c r="GT1033" s="223">
        <v>24</v>
      </c>
      <c r="GU1033" s="223" t="s">
        <v>155</v>
      </c>
      <c r="GV1033" s="223">
        <v>2</v>
      </c>
      <c r="GW1033" s="223">
        <v>27</v>
      </c>
      <c r="GX1033" s="223">
        <v>30</v>
      </c>
      <c r="GY1033" s="223">
        <v>0</v>
      </c>
      <c r="GZ1033" s="223">
        <v>0</v>
      </c>
      <c r="HA1033" s="223">
        <v>0</v>
      </c>
      <c r="HB1033" s="223">
        <v>44</v>
      </c>
      <c r="HC1033" s="223">
        <v>13</v>
      </c>
      <c r="HD1033" s="223" t="b">
        <v>1</v>
      </c>
    </row>
  </sheetData>
  <sheetProtection scenarios="1"/>
  <pageMargins left="0.7" right="0.7" top="0.75" bottom="0.75" header="0.3" footer="0.3"/>
  <pageSetup orientation="portrait" r:id="rId1"/>
  <headerFooter>
    <oddHeader>&amp;L&amp;EFor Evaluation Only</oddHeader>
    <oddFooter>&amp;L&amp;ETreePlan Trial, For Evaluation Only&amp;Z&amp;Ewww.TreePlan.com</oddFooter>
  </headerFooter>
  <ignoredErrors>
    <ignoredError sqref="AE3:AE13 AE38" emptyCellReferenc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D1033"/>
  <sheetViews>
    <sheetView showGridLines="0" zoomScale="60" zoomScaleNormal="60" workbookViewId="0">
      <selection activeCell="M46" sqref="M46"/>
    </sheetView>
  </sheetViews>
  <sheetFormatPr baseColWidth="10" defaultRowHeight="14.25" x14ac:dyDescent="0.2"/>
  <cols>
    <col min="1" max="1" width="13" style="223" customWidth="1"/>
    <col min="2" max="2" width="11.625" style="223" customWidth="1"/>
    <col min="3" max="3" width="2.25" style="223" customWidth="1"/>
    <col min="4" max="4" width="3.625" style="223" customWidth="1"/>
    <col min="5" max="5" width="10.5" style="223" customWidth="1"/>
    <col min="6" max="6" width="6.5" style="223" customWidth="1"/>
    <col min="7" max="7" width="14.625" style="223" customWidth="1"/>
    <col min="8" max="8" width="11" style="223" customWidth="1"/>
    <col min="9" max="9" width="2.875" style="223" customWidth="1"/>
    <col min="10" max="10" width="3.625" style="223" customWidth="1"/>
    <col min="11" max="11" width="11.375" style="223" bestFit="1" customWidth="1"/>
    <col min="12" max="12" width="5.875" style="223" customWidth="1"/>
    <col min="13" max="13" width="10.125" style="223" customWidth="1"/>
    <col min="14" max="14" width="10.25" style="223" customWidth="1"/>
    <col min="15" max="15" width="2.25" style="223" customWidth="1"/>
    <col min="16" max="16" width="3.625" style="223" customWidth="1"/>
    <col min="17" max="17" width="10" style="223" customWidth="1"/>
    <col min="18" max="18" width="5.875" style="223" customWidth="1"/>
    <col min="19" max="20" width="10.25" style="223" customWidth="1"/>
    <col min="21" max="21" width="2.25" style="223" customWidth="1"/>
    <col min="22" max="22" width="3.625" style="223" customWidth="1"/>
    <col min="23" max="23" width="11.125" style="223" bestFit="1" customWidth="1"/>
    <col min="24" max="25" width="10.25" style="223" customWidth="1"/>
    <col min="26" max="26" width="2.25" style="223" customWidth="1"/>
    <col min="27" max="27" width="3.625" style="223" customWidth="1"/>
    <col min="28" max="28" width="11.125" style="223" customWidth="1"/>
    <col min="29" max="29" width="11.375" style="223" bestFit="1" customWidth="1"/>
    <col min="30" max="30" width="2.25" style="223" customWidth="1"/>
    <col min="31" max="31" width="12" style="223" bestFit="1" customWidth="1"/>
    <col min="32" max="32" width="7.25" style="223" customWidth="1"/>
    <col min="33" max="33" width="11" style="223"/>
    <col min="34" max="34" width="2.25" style="223" customWidth="1"/>
    <col min="35" max="37" width="11" style="223"/>
    <col min="38" max="38" width="2.25" style="223" customWidth="1"/>
    <col min="39" max="41" width="11" style="223"/>
    <col min="42" max="42" width="2.25" style="223" customWidth="1"/>
    <col min="43" max="196" width="11" style="223"/>
    <col min="197" max="198" width="11.125" style="223" bestFit="1" customWidth="1"/>
    <col min="199" max="199" width="11" style="223"/>
    <col min="200" max="202" width="11.125" style="223" bestFit="1" customWidth="1"/>
    <col min="203" max="203" width="11" style="223"/>
    <col min="204" max="211" width="11.125" style="223" bestFit="1" customWidth="1"/>
    <col min="212" max="212" width="14.25" style="223" bestFit="1" customWidth="1"/>
    <col min="213" max="16384" width="11" style="223"/>
  </cols>
  <sheetData>
    <row r="1" spans="2:33" ht="15" x14ac:dyDescent="0.25">
      <c r="B1" s="222"/>
      <c r="AB1" s="352">
        <v>0.9</v>
      </c>
      <c r="AE1" s="225"/>
    </row>
    <row r="2" spans="2:33" x14ac:dyDescent="0.2">
      <c r="AB2" s="226" t="s">
        <v>122</v>
      </c>
    </row>
    <row r="3" spans="2:33" x14ac:dyDescent="0.2">
      <c r="W3" s="352">
        <v>0.9</v>
      </c>
      <c r="X3" s="352"/>
      <c r="AE3" s="227">
        <f>SUM(E27,K15,Q10,W6,AB4)</f>
        <v>695275</v>
      </c>
      <c r="AF3" s="227" t="s">
        <v>267</v>
      </c>
      <c r="AG3" s="292"/>
    </row>
    <row r="4" spans="2:33" x14ac:dyDescent="0.2">
      <c r="W4" s="226" t="s">
        <v>123</v>
      </c>
      <c r="X4" s="226"/>
      <c r="AB4" s="246">
        <f>+'Costos China'!Q12</f>
        <v>2380000</v>
      </c>
      <c r="AC4" s="229">
        <f>AE3</f>
        <v>695275</v>
      </c>
    </row>
    <row r="6" spans="2:33" ht="15" x14ac:dyDescent="0.2">
      <c r="W6" s="228"/>
      <c r="X6" s="379" t="s">
        <v>370</v>
      </c>
      <c r="Y6" s="379">
        <f>IF(ABS(1-(AB1+AB6))&lt;=0.00001,AB1*AC4+AB6*AC9,NA())</f>
        <v>680400</v>
      </c>
      <c r="AB6" s="352">
        <v>0.1</v>
      </c>
    </row>
    <row r="7" spans="2:33" x14ac:dyDescent="0.2">
      <c r="AB7" s="226" t="s">
        <v>266</v>
      </c>
    </row>
    <row r="8" spans="2:33" x14ac:dyDescent="0.2">
      <c r="Q8" s="226" t="s">
        <v>125</v>
      </c>
      <c r="R8" s="226"/>
      <c r="S8" s="226"/>
      <c r="AE8" s="227">
        <f>'Costos China'!Q13+SUM(E27,K15,Q10,W6,AB9)</f>
        <v>546525</v>
      </c>
      <c r="AF8" s="227" t="s">
        <v>268</v>
      </c>
      <c r="AG8" s="292"/>
    </row>
    <row r="9" spans="2:33" x14ac:dyDescent="0.2">
      <c r="AB9" s="385">
        <f>-'Costos China'!P13</f>
        <v>-29750</v>
      </c>
      <c r="AC9" s="229">
        <f>AE8</f>
        <v>546525</v>
      </c>
    </row>
    <row r="10" spans="2:33" ht="15" x14ac:dyDescent="0.2">
      <c r="Q10" s="380">
        <f>-'Costos China'!F18</f>
        <v>-200725</v>
      </c>
      <c r="S10" s="379" t="s">
        <v>371</v>
      </c>
      <c r="T10" s="379">
        <f>IF(ABS(1-(W3+W11))&lt;=0.00001,W3*Y6+W11*Y14,NA())</f>
        <v>443887.5</v>
      </c>
    </row>
    <row r="11" spans="2:33" x14ac:dyDescent="0.2">
      <c r="W11" s="352">
        <v>0.1</v>
      </c>
      <c r="X11" s="352"/>
    </row>
    <row r="12" spans="2:33" x14ac:dyDescent="0.2">
      <c r="K12" s="352">
        <v>0.65</v>
      </c>
      <c r="L12" s="352"/>
      <c r="M12" s="352"/>
      <c r="W12" s="226" t="s">
        <v>161</v>
      </c>
      <c r="X12" s="226"/>
    </row>
    <row r="13" spans="2:33" x14ac:dyDescent="0.2">
      <c r="K13" s="226" t="s">
        <v>127</v>
      </c>
      <c r="L13" s="226"/>
      <c r="M13" s="226"/>
      <c r="AE13" s="353">
        <f>SUM(E27,K15,Q10,W14)</f>
        <v>-1684725</v>
      </c>
      <c r="AF13" s="227" t="s">
        <v>269</v>
      </c>
    </row>
    <row r="14" spans="2:33" x14ac:dyDescent="0.2">
      <c r="O14" s="223">
        <f>IF(N15=T10,1,IF(N15=T21,2))</f>
        <v>1</v>
      </c>
      <c r="W14" s="272"/>
      <c r="X14" s="272"/>
      <c r="Y14" s="403">
        <f>AE13</f>
        <v>-1684725</v>
      </c>
    </row>
    <row r="15" spans="2:33" ht="15" x14ac:dyDescent="0.2">
      <c r="K15" s="228">
        <v>0</v>
      </c>
      <c r="L15" s="228"/>
      <c r="M15" s="379" t="s">
        <v>371</v>
      </c>
      <c r="N15" s="379">
        <f>MAX(T10,T21)</f>
        <v>443887.5</v>
      </c>
    </row>
    <row r="16" spans="2:33" x14ac:dyDescent="0.2">
      <c r="P16" s="363"/>
      <c r="Q16" s="363"/>
      <c r="R16" s="363"/>
      <c r="S16" s="363"/>
      <c r="T16" s="363"/>
      <c r="U16" s="363"/>
      <c r="V16" s="363"/>
      <c r="W16" s="378">
        <v>0.15</v>
      </c>
      <c r="X16" s="378"/>
      <c r="Y16" s="363"/>
      <c r="Z16" s="363"/>
      <c r="AA16" s="363"/>
      <c r="AB16" s="363"/>
      <c r="AC16" s="363"/>
      <c r="AD16" s="363"/>
      <c r="AE16" s="363"/>
      <c r="AF16" s="363"/>
    </row>
    <row r="17" spans="1:32" x14ac:dyDescent="0.2">
      <c r="P17" s="363"/>
      <c r="Q17" s="363"/>
      <c r="R17" s="363"/>
      <c r="S17" s="363"/>
      <c r="T17" s="363"/>
      <c r="U17" s="363"/>
      <c r="V17" s="363"/>
      <c r="W17" s="363" t="s">
        <v>122</v>
      </c>
      <c r="X17" s="363"/>
      <c r="Y17" s="363"/>
      <c r="Z17" s="363"/>
      <c r="AA17" s="363"/>
      <c r="AB17" s="363"/>
      <c r="AC17" s="363"/>
      <c r="AD17" s="363"/>
      <c r="AE17" s="363"/>
      <c r="AF17" s="363"/>
    </row>
    <row r="18" spans="1:32" x14ac:dyDescent="0.2">
      <c r="P18" s="363"/>
      <c r="Q18" s="363"/>
      <c r="R18" s="363"/>
      <c r="S18" s="363"/>
      <c r="T18" s="363"/>
      <c r="U18" s="363"/>
      <c r="V18" s="363"/>
      <c r="W18" s="363"/>
      <c r="X18" s="363"/>
      <c r="Y18" s="363"/>
      <c r="Z18" s="363"/>
      <c r="AA18" s="363"/>
      <c r="AB18" s="363"/>
      <c r="AC18" s="363"/>
      <c r="AD18" s="363"/>
      <c r="AE18" s="361">
        <f>SUM(E27,K15,Q21,W19)</f>
        <v>896000</v>
      </c>
      <c r="AF18" s="361" t="s">
        <v>270</v>
      </c>
    </row>
    <row r="19" spans="1:32" x14ac:dyDescent="0.2">
      <c r="P19" s="363"/>
      <c r="Q19" s="363" t="s">
        <v>128</v>
      </c>
      <c r="R19" s="363"/>
      <c r="S19" s="363"/>
      <c r="T19" s="363"/>
      <c r="U19" s="363"/>
      <c r="V19" s="363"/>
      <c r="W19" s="360">
        <f>+'Costos China'!Q15</f>
        <v>2380000</v>
      </c>
      <c r="X19" s="363"/>
      <c r="Y19" s="361">
        <f>AE18</f>
        <v>896000</v>
      </c>
      <c r="Z19" s="363"/>
      <c r="AA19" s="363"/>
      <c r="AB19" s="363"/>
      <c r="AC19" s="363"/>
      <c r="AD19" s="363"/>
      <c r="AE19" s="363"/>
      <c r="AF19" s="363"/>
    </row>
    <row r="20" spans="1:32" x14ac:dyDescent="0.2">
      <c r="P20" s="363"/>
      <c r="Q20" s="363"/>
      <c r="R20" s="363"/>
      <c r="S20" s="363"/>
      <c r="T20" s="363"/>
      <c r="U20" s="363"/>
      <c r="V20" s="363"/>
      <c r="W20" s="363"/>
      <c r="X20" s="363"/>
      <c r="Y20" s="363"/>
      <c r="Z20" s="363"/>
      <c r="AA20" s="363"/>
      <c r="AB20" s="363"/>
      <c r="AC20" s="363"/>
      <c r="AD20" s="363"/>
      <c r="AE20" s="363"/>
      <c r="AF20" s="363"/>
    </row>
    <row r="21" spans="1:32" ht="15" x14ac:dyDescent="0.2">
      <c r="P21" s="363"/>
      <c r="Q21" s="360">
        <v>0</v>
      </c>
      <c r="R21" s="360"/>
      <c r="S21" s="402" t="s">
        <v>372</v>
      </c>
      <c r="T21" s="402">
        <f>IF(ABS(1-(W16+W21))&lt;=0.00001,W16*Y19+W21*Y24,NA())</f>
        <v>-115500</v>
      </c>
      <c r="U21" s="363"/>
      <c r="V21" s="363"/>
      <c r="W21" s="378">
        <v>0.85</v>
      </c>
      <c r="X21" s="378"/>
      <c r="Y21" s="363"/>
      <c r="Z21" s="363"/>
      <c r="AA21" s="363"/>
      <c r="AB21" s="363"/>
      <c r="AC21" s="363"/>
      <c r="AD21" s="363"/>
      <c r="AE21" s="363"/>
      <c r="AF21" s="363"/>
    </row>
    <row r="22" spans="1:32" x14ac:dyDescent="0.2">
      <c r="P22" s="363"/>
      <c r="Q22" s="363"/>
      <c r="R22" s="363"/>
      <c r="S22" s="363"/>
      <c r="T22" s="363"/>
      <c r="U22" s="363"/>
      <c r="V22" s="363"/>
      <c r="W22" s="363" t="s">
        <v>318</v>
      </c>
      <c r="X22" s="363"/>
      <c r="Y22" s="363"/>
      <c r="Z22" s="363"/>
      <c r="AA22" s="363"/>
      <c r="AB22" s="363"/>
      <c r="AC22" s="363"/>
      <c r="AD22" s="363"/>
      <c r="AE22" s="363"/>
      <c r="AF22" s="363"/>
    </row>
    <row r="23" spans="1:32" x14ac:dyDescent="0.2">
      <c r="P23" s="363"/>
      <c r="Q23" s="363"/>
      <c r="R23" s="363"/>
      <c r="S23" s="363"/>
      <c r="T23" s="363"/>
      <c r="U23" s="363"/>
      <c r="V23" s="363"/>
      <c r="W23" s="363"/>
      <c r="X23" s="363"/>
      <c r="Y23" s="363"/>
      <c r="Z23" s="363"/>
      <c r="AA23" s="363"/>
      <c r="AB23" s="363"/>
      <c r="AC23" s="363"/>
      <c r="AD23" s="363"/>
      <c r="AE23" s="361">
        <f>'Costos China'!Q16+SUM(E27,K15,Q21,W24)</f>
        <v>-294000</v>
      </c>
      <c r="AF23" s="361" t="s">
        <v>271</v>
      </c>
    </row>
    <row r="24" spans="1:32" x14ac:dyDescent="0.2">
      <c r="P24" s="363"/>
      <c r="Q24" s="363"/>
      <c r="R24" s="363"/>
      <c r="S24" s="363"/>
      <c r="T24" s="363"/>
      <c r="U24" s="363"/>
      <c r="V24" s="363"/>
      <c r="W24" s="360">
        <f>-'Costos China'!P16</f>
        <v>-238000</v>
      </c>
      <c r="X24" s="363"/>
      <c r="Y24" s="361">
        <f>AE23</f>
        <v>-294000</v>
      </c>
      <c r="Z24" s="363"/>
      <c r="AA24" s="363"/>
      <c r="AB24" s="363"/>
      <c r="AC24" s="363"/>
      <c r="AD24" s="363"/>
      <c r="AE24" s="363"/>
      <c r="AF24" s="363"/>
    </row>
    <row r="25" spans="1:32" x14ac:dyDescent="0.2">
      <c r="E25" s="226" t="s">
        <v>129</v>
      </c>
      <c r="F25" s="226"/>
      <c r="G25" s="226"/>
      <c r="P25" s="363"/>
      <c r="Q25" s="363"/>
      <c r="R25" s="363"/>
      <c r="S25" s="363"/>
      <c r="T25" s="363"/>
      <c r="U25" s="363"/>
      <c r="V25" s="363"/>
      <c r="W25" s="363"/>
      <c r="X25" s="363"/>
      <c r="Y25" s="363"/>
      <c r="Z25" s="363"/>
      <c r="AA25" s="363"/>
      <c r="AB25" s="363"/>
      <c r="AC25" s="363"/>
      <c r="AD25" s="363"/>
      <c r="AE25" s="363"/>
      <c r="AF25" s="363"/>
    </row>
    <row r="26" spans="1:32" x14ac:dyDescent="0.2">
      <c r="AB26" s="351">
        <f>+'Costos China'!AD14</f>
        <v>0.75</v>
      </c>
    </row>
    <row r="27" spans="1:32" ht="16.5" x14ac:dyDescent="0.2">
      <c r="A27" s="384" t="s">
        <v>382</v>
      </c>
      <c r="B27" s="384">
        <f>MAX(H27,H73)</f>
        <v>362670</v>
      </c>
      <c r="E27" s="231">
        <f>-'Costo Importar'!I10</f>
        <v>-1484000</v>
      </c>
      <c r="G27" s="379" t="s">
        <v>376</v>
      </c>
      <c r="H27" s="379">
        <f>IF(ABS(1-(K12+K37))&lt;=0.00001,K12*N15+K37*N40,NA())</f>
        <v>362670</v>
      </c>
      <c r="AB27" s="226" t="s">
        <v>122</v>
      </c>
    </row>
    <row r="28" spans="1:32" x14ac:dyDescent="0.2">
      <c r="W28" s="352">
        <v>0.85</v>
      </c>
      <c r="X28" s="352"/>
      <c r="AE28" s="227">
        <f>SUM(E27,K40,Q35,W31,AB29)</f>
        <v>695275</v>
      </c>
      <c r="AF28" s="227" t="s">
        <v>272</v>
      </c>
    </row>
    <row r="29" spans="1:32" x14ac:dyDescent="0.2">
      <c r="W29" s="226" t="s">
        <v>123</v>
      </c>
      <c r="X29" s="226"/>
      <c r="AB29" s="246">
        <f>+'Costos China'!Q18</f>
        <v>2380000</v>
      </c>
      <c r="AC29" s="229">
        <f>AE28</f>
        <v>695275</v>
      </c>
    </row>
    <row r="31" spans="1:32" ht="15" x14ac:dyDescent="0.2">
      <c r="W31" s="228">
        <v>0</v>
      </c>
      <c r="X31" s="379" t="s">
        <v>373</v>
      </c>
      <c r="Y31" s="379">
        <f>IF(ABS(1-(AB26+AB31))&lt;=0.00001,AB26*AC29+AB31*AC34,NA())</f>
        <v>546525</v>
      </c>
      <c r="AB31" s="351">
        <f>+'Costos China'!AD15</f>
        <v>0.25</v>
      </c>
    </row>
    <row r="32" spans="1:32" x14ac:dyDescent="0.2">
      <c r="AB32" s="226" t="s">
        <v>265</v>
      </c>
    </row>
    <row r="33" spans="2:32" x14ac:dyDescent="0.2">
      <c r="Q33" s="226" t="s">
        <v>125</v>
      </c>
      <c r="R33" s="226"/>
      <c r="S33" s="226"/>
      <c r="AE33" s="227">
        <f>'Costos China'!Q19+SUM(E27,K40,Q35,W31,AB34)</f>
        <v>100275</v>
      </c>
      <c r="AF33" s="227" t="s">
        <v>273</v>
      </c>
    </row>
    <row r="34" spans="2:32" x14ac:dyDescent="0.2">
      <c r="AB34" s="385">
        <f>-'Costos China'!P19</f>
        <v>-119000</v>
      </c>
      <c r="AC34" s="229">
        <f>AE33</f>
        <v>100275</v>
      </c>
    </row>
    <row r="35" spans="2:32" ht="15" x14ac:dyDescent="0.2">
      <c r="Q35" s="380">
        <f>-'Costos China'!F18</f>
        <v>-200725</v>
      </c>
      <c r="S35" s="379" t="s">
        <v>374</v>
      </c>
      <c r="T35" s="379">
        <f>IF(ABS(1-(W28+W36))&lt;=0.00001,W28*Y31+W36*Y39,NA())</f>
        <v>211837.5</v>
      </c>
    </row>
    <row r="36" spans="2:32" x14ac:dyDescent="0.2">
      <c r="W36" s="352">
        <v>0.15</v>
      </c>
      <c r="X36" s="352"/>
    </row>
    <row r="37" spans="2:32" x14ac:dyDescent="0.2">
      <c r="K37" s="352">
        <v>0.35</v>
      </c>
      <c r="L37" s="352"/>
      <c r="M37" s="352"/>
      <c r="W37" s="226" t="s">
        <v>161</v>
      </c>
      <c r="X37" s="226"/>
    </row>
    <row r="38" spans="2:32" ht="15" thickBot="1" x14ac:dyDescent="0.25">
      <c r="K38" s="226" t="s">
        <v>158</v>
      </c>
      <c r="L38" s="226"/>
      <c r="M38" s="226"/>
      <c r="AE38" s="353">
        <f>SUM(E27,K40,Q35,W39)</f>
        <v>-1684725</v>
      </c>
      <c r="AF38" s="227" t="s">
        <v>274</v>
      </c>
    </row>
    <row r="39" spans="2:32" ht="16.5" x14ac:dyDescent="0.3">
      <c r="C39" s="386"/>
      <c r="D39" s="387" t="s">
        <v>383</v>
      </c>
      <c r="E39" s="388"/>
      <c r="F39" s="389"/>
      <c r="G39" s="389"/>
      <c r="H39" s="390"/>
      <c r="O39" s="223">
        <f>IF(N40=T35,1,IF(N40=T46,2))</f>
        <v>1</v>
      </c>
      <c r="W39" s="272"/>
      <c r="X39" s="272"/>
      <c r="Y39" s="403">
        <f>AE38</f>
        <v>-1684725</v>
      </c>
    </row>
    <row r="40" spans="2:32" ht="16.5" x14ac:dyDescent="0.3">
      <c r="C40" s="391"/>
      <c r="D40" s="392"/>
      <c r="E40" s="392"/>
      <c r="F40" s="393"/>
      <c r="G40" s="393"/>
      <c r="H40" s="394"/>
      <c r="K40" s="228">
        <v>0</v>
      </c>
      <c r="L40" s="228"/>
      <c r="M40" s="379" t="s">
        <v>374</v>
      </c>
      <c r="N40" s="379">
        <f>MAX(T35,T46)</f>
        <v>211837.5</v>
      </c>
    </row>
    <row r="41" spans="2:32" ht="16.5" x14ac:dyDescent="0.3">
      <c r="C41" s="391"/>
      <c r="D41" s="395"/>
      <c r="E41" s="396" t="s">
        <v>384</v>
      </c>
      <c r="F41" s="393"/>
      <c r="G41" s="393"/>
      <c r="H41" s="394"/>
      <c r="Q41" s="363"/>
      <c r="R41" s="363"/>
      <c r="S41" s="363"/>
      <c r="T41" s="363"/>
      <c r="U41" s="363"/>
      <c r="V41" s="363"/>
      <c r="W41" s="378">
        <v>0.05</v>
      </c>
      <c r="X41" s="378"/>
      <c r="Y41" s="363"/>
      <c r="Z41" s="363"/>
      <c r="AA41" s="363"/>
      <c r="AB41" s="363"/>
      <c r="AC41" s="363"/>
      <c r="AD41" s="363"/>
      <c r="AE41" s="363"/>
      <c r="AF41" s="363"/>
    </row>
    <row r="42" spans="2:32" ht="16.5" x14ac:dyDescent="0.3">
      <c r="C42" s="391"/>
      <c r="D42" s="392"/>
      <c r="E42" s="392"/>
      <c r="F42" s="393"/>
      <c r="G42" s="393"/>
      <c r="H42" s="394"/>
      <c r="Q42" s="363"/>
      <c r="R42" s="363"/>
      <c r="S42" s="363"/>
      <c r="T42" s="363"/>
      <c r="U42" s="363"/>
      <c r="V42" s="363"/>
      <c r="W42" s="363" t="s">
        <v>122</v>
      </c>
      <c r="X42" s="363"/>
      <c r="Y42" s="363"/>
      <c r="Z42" s="363"/>
      <c r="AA42" s="363"/>
      <c r="AB42" s="363"/>
      <c r="AC42" s="363"/>
      <c r="AD42" s="363"/>
      <c r="AE42" s="363"/>
      <c r="AF42" s="363"/>
    </row>
    <row r="43" spans="2:32" ht="16.5" x14ac:dyDescent="0.3">
      <c r="C43" s="391"/>
      <c r="D43" s="397"/>
      <c r="E43" s="392" t="s">
        <v>385</v>
      </c>
      <c r="F43" s="393"/>
      <c r="G43" s="393"/>
      <c r="H43" s="394"/>
      <c r="Q43" s="363"/>
      <c r="R43" s="363"/>
      <c r="S43" s="363"/>
      <c r="T43" s="363"/>
      <c r="U43" s="363"/>
      <c r="V43" s="363"/>
      <c r="W43" s="363"/>
      <c r="X43" s="363"/>
      <c r="Y43" s="363"/>
      <c r="Z43" s="363"/>
      <c r="AA43" s="363"/>
      <c r="AB43" s="363"/>
      <c r="AC43" s="363"/>
      <c r="AD43" s="363"/>
      <c r="AE43" s="361">
        <f>SUM(E27,K40,Q46,W44)</f>
        <v>896000</v>
      </c>
      <c r="AF43" s="361" t="s">
        <v>275</v>
      </c>
    </row>
    <row r="44" spans="2:32" ht="16.5" x14ac:dyDescent="0.3">
      <c r="C44" s="391"/>
      <c r="D44" s="392"/>
      <c r="E44" s="392"/>
      <c r="F44" s="393"/>
      <c r="G44" s="393"/>
      <c r="H44" s="394"/>
      <c r="Q44" s="363" t="s">
        <v>128</v>
      </c>
      <c r="R44" s="363"/>
      <c r="S44" s="363"/>
      <c r="T44" s="363"/>
      <c r="U44" s="363"/>
      <c r="V44" s="363"/>
      <c r="W44" s="360">
        <f>+'Costos China'!Q21</f>
        <v>2380000</v>
      </c>
      <c r="X44" s="378"/>
      <c r="Y44" s="361">
        <f>AE43</f>
        <v>896000</v>
      </c>
      <c r="Z44" s="363"/>
      <c r="AA44" s="363"/>
      <c r="AB44" s="363"/>
      <c r="AC44" s="363"/>
      <c r="AD44" s="363"/>
      <c r="AE44" s="363"/>
      <c r="AF44" s="363"/>
    </row>
    <row r="45" spans="2:32" ht="16.5" x14ac:dyDescent="0.3">
      <c r="C45" s="391"/>
      <c r="D45" s="401"/>
      <c r="E45" s="392" t="s">
        <v>386</v>
      </c>
      <c r="F45" s="393"/>
      <c r="G45" s="393"/>
      <c r="H45" s="394"/>
      <c r="Q45" s="363"/>
      <c r="R45" s="363"/>
      <c r="S45" s="363"/>
      <c r="T45" s="363"/>
      <c r="U45" s="363"/>
      <c r="V45" s="363"/>
      <c r="W45" s="363"/>
      <c r="X45" s="363"/>
      <c r="Y45" s="363"/>
      <c r="Z45" s="363"/>
      <c r="AA45" s="363"/>
      <c r="AB45" s="363"/>
      <c r="AC45" s="363"/>
      <c r="AD45" s="363"/>
      <c r="AE45" s="363"/>
      <c r="AF45" s="363"/>
    </row>
    <row r="46" spans="2:32" ht="15.75" thickBot="1" x14ac:dyDescent="0.25">
      <c r="C46" s="398"/>
      <c r="D46" s="399"/>
      <c r="E46" s="399"/>
      <c r="F46" s="399"/>
      <c r="G46" s="399"/>
      <c r="H46" s="400"/>
      <c r="Q46" s="360">
        <v>0</v>
      </c>
      <c r="R46" s="360"/>
      <c r="S46" s="402" t="s">
        <v>375</v>
      </c>
      <c r="T46" s="402">
        <f>IF(ABS(1-(W41+W46))&lt;=0.00001,W41*Y44+W46*Y49,NA())</f>
        <v>-799750</v>
      </c>
      <c r="U46" s="363"/>
      <c r="V46" s="363"/>
      <c r="W46" s="378">
        <v>0.95</v>
      </c>
      <c r="X46" s="378"/>
      <c r="Y46" s="363"/>
      <c r="Z46" s="363"/>
      <c r="AA46" s="363"/>
      <c r="AB46" s="363"/>
      <c r="AC46" s="363"/>
      <c r="AD46" s="363"/>
      <c r="AE46" s="363"/>
      <c r="AF46" s="363"/>
    </row>
    <row r="47" spans="2:32" x14ac:dyDescent="0.2">
      <c r="Q47" s="363"/>
      <c r="R47" s="363"/>
      <c r="S47" s="363"/>
      <c r="T47" s="363"/>
      <c r="U47" s="363"/>
      <c r="V47" s="363"/>
      <c r="W47" s="363" t="s">
        <v>302</v>
      </c>
      <c r="X47" s="363"/>
      <c r="Y47" s="363"/>
      <c r="Z47" s="363"/>
      <c r="AA47" s="363"/>
      <c r="AB47" s="363"/>
      <c r="AC47" s="363"/>
      <c r="AD47" s="363"/>
      <c r="AE47" s="363"/>
      <c r="AF47" s="363"/>
    </row>
    <row r="48" spans="2:32" x14ac:dyDescent="0.2">
      <c r="B48" s="232"/>
      <c r="Q48" s="363"/>
      <c r="R48" s="363"/>
      <c r="S48" s="363"/>
      <c r="T48" s="363"/>
      <c r="U48" s="363"/>
      <c r="V48" s="363"/>
      <c r="W48" s="363"/>
      <c r="X48" s="363"/>
      <c r="Y48" s="363"/>
      <c r="Z48" s="363"/>
      <c r="AA48" s="363"/>
      <c r="AB48" s="363"/>
      <c r="AC48" s="363"/>
      <c r="AD48" s="363"/>
      <c r="AE48" s="361">
        <f>'Costos China'!Q22+SUM(E27,K40,Q46,W49)</f>
        <v>-889000</v>
      </c>
      <c r="AF48" s="361" t="s">
        <v>276</v>
      </c>
    </row>
    <row r="49" spans="3:32" x14ac:dyDescent="0.2">
      <c r="C49" s="223">
        <f>IF(B27=H27,1,IF(B27=H73,2))</f>
        <v>1</v>
      </c>
      <c r="Q49" s="363"/>
      <c r="R49" s="363"/>
      <c r="S49" s="363"/>
      <c r="T49" s="363"/>
      <c r="U49" s="363"/>
      <c r="V49" s="363"/>
      <c r="W49" s="360">
        <f>-'Costos China'!P22</f>
        <v>-357000</v>
      </c>
      <c r="X49" s="363"/>
      <c r="Y49" s="361">
        <f>AE48</f>
        <v>-889000</v>
      </c>
      <c r="Z49" s="363"/>
      <c r="AA49" s="363"/>
      <c r="AB49" s="363"/>
      <c r="AC49" s="363"/>
      <c r="AD49" s="363"/>
      <c r="AE49" s="363"/>
      <c r="AF49" s="363"/>
    </row>
    <row r="50" spans="3:32" ht="21.75" customHeight="1" x14ac:dyDescent="0.2"/>
    <row r="51" spans="3:32" x14ac:dyDescent="0.2">
      <c r="AB51" s="352">
        <v>0.95</v>
      </c>
    </row>
    <row r="52" spans="3:32" x14ac:dyDescent="0.2">
      <c r="AB52" s="226" t="s">
        <v>122</v>
      </c>
    </row>
    <row r="53" spans="3:32" x14ac:dyDescent="0.2">
      <c r="W53" s="352">
        <v>0.9</v>
      </c>
      <c r="X53" s="352"/>
      <c r="AE53" s="227">
        <f>SUM(E73,K65,Q60,W56,AB54)</f>
        <v>514937.5</v>
      </c>
      <c r="AF53" s="227" t="s">
        <v>277</v>
      </c>
    </row>
    <row r="54" spans="3:32" x14ac:dyDescent="0.2">
      <c r="W54" s="226" t="s">
        <v>298</v>
      </c>
      <c r="X54" s="226"/>
      <c r="AB54" s="246">
        <f>+'Costo Importar'!M11</f>
        <v>2380000</v>
      </c>
      <c r="AC54" s="229">
        <f>AE53</f>
        <v>514937.5</v>
      </c>
    </row>
    <row r="56" spans="3:32" ht="15" x14ac:dyDescent="0.2">
      <c r="W56" s="228">
        <v>0</v>
      </c>
      <c r="X56" s="379" t="s">
        <v>377</v>
      </c>
      <c r="Y56" s="379">
        <f>IF(ABS(1-(AB51+AB56))&lt;=0.00001,AB51*AC54+AB56*AC59,NA())</f>
        <v>500062.5</v>
      </c>
      <c r="AB56" s="352">
        <v>0.05</v>
      </c>
    </row>
    <row r="57" spans="3:32" x14ac:dyDescent="0.2">
      <c r="AB57" s="226" t="s">
        <v>300</v>
      </c>
    </row>
    <row r="58" spans="3:32" x14ac:dyDescent="0.2">
      <c r="Q58" s="226" t="s">
        <v>130</v>
      </c>
      <c r="R58" s="226"/>
      <c r="S58" s="226"/>
      <c r="AE58" s="227">
        <f>'Costos Brasil'!V19+SUM(E73,K65,Q60,W56,AB59)</f>
        <v>217437.5</v>
      </c>
      <c r="AF58" s="227" t="s">
        <v>278</v>
      </c>
    </row>
    <row r="59" spans="3:32" x14ac:dyDescent="0.2">
      <c r="AB59" s="380">
        <f>-'Costos Brasil'!U19</f>
        <v>-59500</v>
      </c>
      <c r="AC59" s="229">
        <f>AE58</f>
        <v>217437.5</v>
      </c>
    </row>
    <row r="60" spans="3:32" ht="15" x14ac:dyDescent="0.2">
      <c r="Q60" s="380">
        <f>-'Costos Brasil'!G18</f>
        <v>-141312.5</v>
      </c>
      <c r="S60" s="379" t="s">
        <v>378</v>
      </c>
      <c r="T60" s="379">
        <f>IF(ABS(1-(W53+W61))&lt;=0.00001,W53*Y56+W61*Y64,NA())</f>
        <v>265475</v>
      </c>
    </row>
    <row r="61" spans="3:32" x14ac:dyDescent="0.2">
      <c r="W61" s="352">
        <v>0.1</v>
      </c>
      <c r="X61" s="352"/>
    </row>
    <row r="62" spans="3:32" x14ac:dyDescent="0.2">
      <c r="K62" s="352">
        <v>0.7</v>
      </c>
      <c r="L62" s="352"/>
      <c r="M62" s="352"/>
      <c r="W62" s="226" t="s">
        <v>299</v>
      </c>
      <c r="X62" s="226"/>
    </row>
    <row r="63" spans="3:32" x14ac:dyDescent="0.2">
      <c r="K63" s="226" t="s">
        <v>131</v>
      </c>
      <c r="L63" s="226"/>
      <c r="M63" s="226"/>
      <c r="AE63" s="353">
        <f>+'Costos Brasil'!V20+SUM(E73,K65,Q60,W64)</f>
        <v>-1845812.5</v>
      </c>
      <c r="AF63" s="227" t="s">
        <v>279</v>
      </c>
    </row>
    <row r="64" spans="3:32" x14ac:dyDescent="0.2">
      <c r="O64" s="223">
        <f>IF(N65=T60,1,IF(N65=T71,2))</f>
        <v>2</v>
      </c>
      <c r="W64" s="231">
        <f>+'Costos Brasil'!H18</f>
        <v>19250</v>
      </c>
      <c r="Y64" s="403">
        <f>AE63</f>
        <v>-1845812.5</v>
      </c>
    </row>
    <row r="65" spans="5:32" ht="15" x14ac:dyDescent="0.2">
      <c r="K65" s="380">
        <f>-'Costo Importar'!I11</f>
        <v>-1723750</v>
      </c>
      <c r="M65" s="379" t="s">
        <v>379</v>
      </c>
      <c r="N65" s="379">
        <f>MAX(T60,T71)</f>
        <v>498093.75</v>
      </c>
    </row>
    <row r="66" spans="5:32" x14ac:dyDescent="0.2">
      <c r="W66" s="352">
        <v>0.15</v>
      </c>
      <c r="X66" s="352"/>
    </row>
    <row r="67" spans="5:32" x14ac:dyDescent="0.2">
      <c r="W67" s="226" t="s">
        <v>132</v>
      </c>
      <c r="X67" s="226"/>
    </row>
    <row r="68" spans="5:32" x14ac:dyDescent="0.2">
      <c r="AE68" s="227">
        <f>'Costos Brasil'!V21+SUM(E73,K65,Q71,W69)</f>
        <v>516687.5</v>
      </c>
      <c r="AF68" s="227" t="s">
        <v>280</v>
      </c>
    </row>
    <row r="69" spans="5:32" x14ac:dyDescent="0.2">
      <c r="Q69" s="226" t="s">
        <v>133</v>
      </c>
      <c r="R69" s="226"/>
      <c r="S69" s="226"/>
      <c r="W69" s="228">
        <v>0</v>
      </c>
      <c r="X69" s="228"/>
      <c r="Y69" s="229">
        <f>AE68</f>
        <v>516687.5</v>
      </c>
    </row>
    <row r="71" spans="5:32" ht="15" x14ac:dyDescent="0.2">
      <c r="E71" s="226" t="s">
        <v>134</v>
      </c>
      <c r="F71" s="226"/>
      <c r="G71" s="226"/>
      <c r="Q71" s="380">
        <f>-'Costos Brasil'!H31</f>
        <v>-139562.5</v>
      </c>
      <c r="S71" s="379" t="s">
        <v>379</v>
      </c>
      <c r="T71" s="379">
        <f>IF(ABS(1-(W66+W71))&lt;=0.00001,W66*Y69+W71*Y74,NA())</f>
        <v>498093.75</v>
      </c>
      <c r="W71" s="352">
        <v>0.85</v>
      </c>
      <c r="X71" s="352"/>
    </row>
    <row r="72" spans="5:32" x14ac:dyDescent="0.2">
      <c r="W72" s="226" t="s">
        <v>301</v>
      </c>
      <c r="X72" s="226"/>
    </row>
    <row r="73" spans="5:32" ht="15" x14ac:dyDescent="0.2">
      <c r="E73" s="228">
        <v>0</v>
      </c>
      <c r="F73" s="228"/>
      <c r="G73" s="379" t="s">
        <v>381</v>
      </c>
      <c r="H73" s="379">
        <f>IF(ABS(1-(K62+K78))&lt;=0.00001,K62*N65+K78*N81,NA())</f>
        <v>318744.15000000002</v>
      </c>
      <c r="AE73" s="227">
        <f>'Costos Brasil'!V22+SUM(E73,K65,Q71,W74)</f>
        <v>494812.5</v>
      </c>
      <c r="AF73" s="227" t="s">
        <v>281</v>
      </c>
    </row>
    <row r="74" spans="5:32" x14ac:dyDescent="0.2">
      <c r="W74" s="380">
        <f>-'Costos Brasil'!I31</f>
        <v>-21875</v>
      </c>
      <c r="Y74" s="229">
        <f>AE73</f>
        <v>494812.5</v>
      </c>
    </row>
    <row r="76" spans="5:32" x14ac:dyDescent="0.2">
      <c r="Q76" s="352">
        <v>0.5</v>
      </c>
      <c r="R76" s="352"/>
      <c r="S76" s="352"/>
    </row>
    <row r="77" spans="5:32" x14ac:dyDescent="0.2">
      <c r="Q77" s="226" t="s">
        <v>157</v>
      </c>
      <c r="R77" s="226"/>
      <c r="S77" s="226"/>
    </row>
    <row r="78" spans="5:32" x14ac:dyDescent="0.2">
      <c r="K78" s="352">
        <v>0.3</v>
      </c>
      <c r="L78" s="352"/>
      <c r="M78" s="352"/>
      <c r="AE78" s="227">
        <f>SUM(E73,K81,Q79)</f>
        <v>752500</v>
      </c>
      <c r="AF78" s="227" t="s">
        <v>282</v>
      </c>
    </row>
    <row r="79" spans="5:32" x14ac:dyDescent="0.2">
      <c r="K79" s="226" t="s">
        <v>251</v>
      </c>
      <c r="L79" s="226"/>
      <c r="M79" s="226"/>
      <c r="Q79" s="246">
        <f>+'Costo Importar'!M12</f>
        <v>2380000</v>
      </c>
      <c r="T79" s="229">
        <f>AE78</f>
        <v>752500</v>
      </c>
    </row>
    <row r="81" spans="3:32" ht="15" x14ac:dyDescent="0.2">
      <c r="K81" s="380">
        <f>-'Costo Importar'!I12</f>
        <v>-1627500</v>
      </c>
      <c r="M81" s="382" t="s">
        <v>380</v>
      </c>
      <c r="N81" s="381">
        <f>IF(ABS(1-(Q76+Q81))&lt;=0.00001,Q76*T79+Q81*T84,NA())</f>
        <v>-99738.25</v>
      </c>
      <c r="Q81" s="352">
        <v>0.5</v>
      </c>
      <c r="R81" s="352"/>
      <c r="S81" s="352"/>
    </row>
    <row r="82" spans="3:32" x14ac:dyDescent="0.2">
      <c r="Q82" s="226" t="s">
        <v>156</v>
      </c>
      <c r="R82" s="226"/>
      <c r="S82" s="226"/>
    </row>
    <row r="83" spans="3:32" x14ac:dyDescent="0.2">
      <c r="AE83" s="353">
        <f>SUM(E73,K81,Q84)</f>
        <v>-951976.5</v>
      </c>
      <c r="AF83" s="227" t="s">
        <v>283</v>
      </c>
    </row>
    <row r="84" spans="3:32" ht="15" x14ac:dyDescent="0.25">
      <c r="Q84" s="231">
        <f>'Costos Brasil'!I43</f>
        <v>675523.5</v>
      </c>
      <c r="T84" s="403">
        <f>AE83</f>
        <v>-951976.5</v>
      </c>
      <c r="AE84" s="225"/>
    </row>
    <row r="85" spans="3:32" ht="15" thickBot="1" x14ac:dyDescent="0.25"/>
    <row r="86" spans="3:32" ht="16.5" x14ac:dyDescent="0.3">
      <c r="C86" s="386"/>
      <c r="D86" s="387" t="s">
        <v>383</v>
      </c>
      <c r="E86" s="388"/>
      <c r="F86" s="389"/>
      <c r="G86" s="389"/>
      <c r="H86" s="390"/>
    </row>
    <row r="87" spans="3:32" ht="16.5" x14ac:dyDescent="0.3">
      <c r="C87" s="391"/>
      <c r="D87" s="392"/>
      <c r="E87" s="392"/>
      <c r="F87" s="393"/>
      <c r="G87" s="393"/>
      <c r="H87" s="394"/>
    </row>
    <row r="88" spans="3:32" ht="16.5" x14ac:dyDescent="0.3">
      <c r="C88" s="391"/>
      <c r="D88" s="395"/>
      <c r="E88" s="396" t="s">
        <v>384</v>
      </c>
      <c r="F88" s="393"/>
      <c r="G88" s="393"/>
      <c r="H88" s="394"/>
    </row>
    <row r="89" spans="3:32" ht="16.5" x14ac:dyDescent="0.3">
      <c r="C89" s="391"/>
      <c r="D89" s="392"/>
      <c r="E89" s="392"/>
      <c r="F89" s="393"/>
      <c r="G89" s="393"/>
      <c r="H89" s="394"/>
    </row>
    <row r="90" spans="3:32" ht="16.5" x14ac:dyDescent="0.3">
      <c r="C90" s="391"/>
      <c r="D90" s="397"/>
      <c r="E90" s="392" t="s">
        <v>385</v>
      </c>
      <c r="F90" s="393"/>
      <c r="G90" s="393"/>
      <c r="H90" s="394"/>
    </row>
    <row r="91" spans="3:32" ht="16.5" x14ac:dyDescent="0.3">
      <c r="C91" s="391"/>
      <c r="D91" s="392"/>
      <c r="E91" s="392"/>
      <c r="F91" s="393"/>
      <c r="G91" s="393"/>
      <c r="H91" s="394"/>
    </row>
    <row r="92" spans="3:32" ht="16.5" x14ac:dyDescent="0.3">
      <c r="C92" s="391"/>
      <c r="D92" s="401"/>
      <c r="E92" s="392" t="s">
        <v>386</v>
      </c>
      <c r="F92" s="393"/>
      <c r="G92" s="393"/>
      <c r="H92" s="394"/>
    </row>
    <row r="93" spans="3:32" ht="6.75" customHeight="1" thickBot="1" x14ac:dyDescent="0.25">
      <c r="C93" s="398"/>
      <c r="D93" s="399"/>
      <c r="E93" s="399"/>
      <c r="F93" s="399"/>
      <c r="G93" s="399"/>
      <c r="H93" s="400"/>
    </row>
    <row r="1000" spans="197:212" x14ac:dyDescent="0.2">
      <c r="GP1000" s="233" t="s">
        <v>137</v>
      </c>
      <c r="GQ1000" s="233" t="s">
        <v>138</v>
      </c>
      <c r="GR1000" s="233" t="s">
        <v>139</v>
      </c>
      <c r="GS1000" s="233" t="s">
        <v>140</v>
      </c>
      <c r="GT1000" s="233" t="s">
        <v>141</v>
      </c>
      <c r="GU1000" s="233" t="s">
        <v>142</v>
      </c>
      <c r="GV1000" s="233" t="s">
        <v>143</v>
      </c>
      <c r="GW1000" s="233" t="s">
        <v>144</v>
      </c>
      <c r="GX1000" s="233" t="s">
        <v>145</v>
      </c>
      <c r="GY1000" s="233" t="s">
        <v>146</v>
      </c>
      <c r="GZ1000" s="233" t="s">
        <v>147</v>
      </c>
      <c r="HA1000" s="233" t="s">
        <v>148</v>
      </c>
      <c r="HB1000" s="233" t="s">
        <v>149</v>
      </c>
      <c r="HC1000" s="233" t="s">
        <v>150</v>
      </c>
      <c r="HD1000" s="233" t="s">
        <v>151</v>
      </c>
    </row>
    <row r="1001" spans="197:212" x14ac:dyDescent="0.2">
      <c r="GO1001" s="223">
        <v>0</v>
      </c>
      <c r="GP1001" s="233">
        <v>0</v>
      </c>
      <c r="GQ1001" s="233" t="s">
        <v>152</v>
      </c>
      <c r="GR1001" s="233">
        <v>0</v>
      </c>
      <c r="GS1001" s="233">
        <v>0</v>
      </c>
      <c r="GT1001" s="233">
        <v>0</v>
      </c>
      <c r="GU1001" s="233" t="s">
        <v>153</v>
      </c>
      <c r="GV1001" s="233">
        <v>2</v>
      </c>
      <c r="GW1001" s="233">
        <v>17</v>
      </c>
      <c r="GX1001" s="233">
        <v>8</v>
      </c>
      <c r="GY1001" s="233">
        <v>0</v>
      </c>
      <c r="GZ1001" s="233">
        <v>0</v>
      </c>
      <c r="HA1001" s="233">
        <v>0</v>
      </c>
      <c r="HB1001" s="234">
        <v>48</v>
      </c>
      <c r="HC1001" s="234">
        <v>1</v>
      </c>
      <c r="HD1001" s="234" t="b">
        <v>1</v>
      </c>
    </row>
    <row r="1002" spans="197:212" x14ac:dyDescent="0.2">
      <c r="GO1002" s="223">
        <v>25</v>
      </c>
      <c r="GP1002" s="233">
        <v>1</v>
      </c>
      <c r="GT1002" s="233">
        <v>7</v>
      </c>
      <c r="GU1002" s="233" t="s">
        <v>154</v>
      </c>
      <c r="GV1002" s="233">
        <v>0</v>
      </c>
      <c r="GW1002" s="233">
        <v>0</v>
      </c>
      <c r="GX1002" s="233">
        <v>0</v>
      </c>
      <c r="GY1002" s="233">
        <v>0</v>
      </c>
      <c r="GZ1002" s="233">
        <v>0</v>
      </c>
      <c r="HA1002" s="233">
        <v>0</v>
      </c>
      <c r="HB1002" s="234">
        <v>7</v>
      </c>
      <c r="HC1002" s="234">
        <v>21</v>
      </c>
      <c r="HD1002" s="234" t="b">
        <v>1</v>
      </c>
    </row>
    <row r="1003" spans="197:212" x14ac:dyDescent="0.2">
      <c r="GO1003" s="223">
        <v>26</v>
      </c>
      <c r="GP1003" s="233">
        <v>2</v>
      </c>
      <c r="GT1003" s="233">
        <v>7</v>
      </c>
      <c r="GU1003" s="233" t="s">
        <v>154</v>
      </c>
      <c r="GV1003" s="233">
        <v>0</v>
      </c>
      <c r="GW1003" s="233">
        <v>0</v>
      </c>
      <c r="GX1003" s="233">
        <v>0</v>
      </c>
      <c r="GY1003" s="233">
        <v>0</v>
      </c>
      <c r="GZ1003" s="233">
        <v>0</v>
      </c>
      <c r="HA1003" s="233">
        <v>0</v>
      </c>
      <c r="HB1003" s="234">
        <v>2</v>
      </c>
      <c r="HC1003" s="234">
        <v>21</v>
      </c>
      <c r="HD1003" s="234" t="b">
        <v>1</v>
      </c>
    </row>
    <row r="1004" spans="197:212" x14ac:dyDescent="0.2">
      <c r="GO1004" s="223">
        <v>27</v>
      </c>
      <c r="GP1004" s="223">
        <v>3</v>
      </c>
      <c r="GT1004" s="223">
        <v>22</v>
      </c>
      <c r="GU1004" s="223" t="s">
        <v>154</v>
      </c>
      <c r="GV1004" s="223">
        <v>0</v>
      </c>
      <c r="GW1004" s="223">
        <v>0</v>
      </c>
      <c r="GX1004" s="223">
        <v>0</v>
      </c>
      <c r="GY1004" s="223">
        <v>0</v>
      </c>
      <c r="GZ1004" s="223">
        <v>0</v>
      </c>
      <c r="HA1004" s="223">
        <v>0</v>
      </c>
      <c r="HB1004" s="223">
        <v>17</v>
      </c>
      <c r="HC1004" s="223">
        <v>17</v>
      </c>
      <c r="HD1004" s="223" t="b">
        <v>1</v>
      </c>
    </row>
    <row r="1005" spans="197:212" x14ac:dyDescent="0.2">
      <c r="GO1005" s="223">
        <v>28</v>
      </c>
      <c r="GP1005" s="223">
        <v>4</v>
      </c>
      <c r="GT1005" s="223">
        <v>19</v>
      </c>
      <c r="GU1005" s="223" t="s">
        <v>154</v>
      </c>
      <c r="GV1005" s="223">
        <v>0</v>
      </c>
      <c r="GW1005" s="223">
        <v>0</v>
      </c>
      <c r="GX1005" s="223">
        <v>0</v>
      </c>
      <c r="GY1005" s="223">
        <v>0</v>
      </c>
      <c r="GZ1005" s="223">
        <v>0</v>
      </c>
      <c r="HA1005" s="223">
        <v>0</v>
      </c>
      <c r="HB1005" s="223">
        <v>12</v>
      </c>
      <c r="HC1005" s="223">
        <v>17</v>
      </c>
      <c r="HD1005" s="223" t="b">
        <v>1</v>
      </c>
    </row>
    <row r="1006" spans="197:212" x14ac:dyDescent="0.2">
      <c r="GO1006" s="223">
        <v>0</v>
      </c>
      <c r="GP1006" s="223">
        <v>5</v>
      </c>
      <c r="GT1006" s="223">
        <v>15</v>
      </c>
      <c r="GU1006" s="223" t="s">
        <v>154</v>
      </c>
      <c r="GV1006" s="223">
        <v>0</v>
      </c>
      <c r="GW1006" s="223">
        <v>0</v>
      </c>
      <c r="GX1006" s="223">
        <v>0</v>
      </c>
      <c r="GY1006" s="223">
        <v>0</v>
      </c>
      <c r="GZ1006" s="223">
        <v>0</v>
      </c>
      <c r="HA1006" s="223">
        <v>0</v>
      </c>
      <c r="HB1006" s="223">
        <v>82</v>
      </c>
      <c r="HC1006" s="223">
        <v>13</v>
      </c>
      <c r="HD1006" s="223" t="b">
        <v>1</v>
      </c>
    </row>
    <row r="1007" spans="197:212" x14ac:dyDescent="0.2">
      <c r="GO1007" s="223">
        <v>0</v>
      </c>
      <c r="GP1007" s="223">
        <v>6</v>
      </c>
      <c r="GT1007" s="223">
        <v>15</v>
      </c>
      <c r="GU1007" s="223" t="s">
        <v>154</v>
      </c>
      <c r="GV1007" s="223">
        <v>0</v>
      </c>
      <c r="GW1007" s="223">
        <v>0</v>
      </c>
      <c r="GX1007" s="223">
        <v>0</v>
      </c>
      <c r="GY1007" s="223">
        <v>0</v>
      </c>
      <c r="GZ1007" s="223">
        <v>0</v>
      </c>
      <c r="HA1007" s="223">
        <v>0</v>
      </c>
      <c r="HB1007" s="223">
        <v>77</v>
      </c>
      <c r="HC1007" s="223">
        <v>13</v>
      </c>
      <c r="HD1007" s="223" t="b">
        <v>1</v>
      </c>
    </row>
    <row r="1008" spans="197:212" x14ac:dyDescent="0.2">
      <c r="GO1008" s="223">
        <v>29</v>
      </c>
      <c r="GP1008" s="223">
        <v>7</v>
      </c>
      <c r="GT1008" s="223">
        <v>19</v>
      </c>
      <c r="GU1008" s="223" t="s">
        <v>155</v>
      </c>
      <c r="GV1008" s="223">
        <v>2</v>
      </c>
      <c r="GW1008" s="223">
        <v>2</v>
      </c>
      <c r="GX1008" s="223">
        <v>1</v>
      </c>
      <c r="GY1008" s="223">
        <v>0</v>
      </c>
      <c r="GZ1008" s="223">
        <v>0</v>
      </c>
      <c r="HA1008" s="223">
        <v>0</v>
      </c>
      <c r="HB1008" s="223">
        <v>4</v>
      </c>
      <c r="HC1008" s="223">
        <v>17</v>
      </c>
      <c r="HD1008" s="223" t="b">
        <v>1</v>
      </c>
    </row>
    <row r="1009" spans="197:212" x14ac:dyDescent="0.2">
      <c r="GO1009" s="223">
        <v>0</v>
      </c>
      <c r="GP1009" s="223">
        <v>8</v>
      </c>
      <c r="GS1009" s="223">
        <v>0</v>
      </c>
      <c r="GT1009" s="223">
        <v>0</v>
      </c>
      <c r="GU1009" s="223" t="s">
        <v>155</v>
      </c>
      <c r="GV1009" s="223">
        <v>2</v>
      </c>
      <c r="GW1009" s="223">
        <v>16</v>
      </c>
      <c r="GX1009" s="223">
        <v>15</v>
      </c>
      <c r="GY1009" s="223">
        <v>0</v>
      </c>
      <c r="GZ1009" s="223">
        <v>0</v>
      </c>
      <c r="HA1009" s="223">
        <v>0</v>
      </c>
      <c r="HB1009" s="223">
        <v>71</v>
      </c>
      <c r="HC1009" s="223">
        <v>5</v>
      </c>
      <c r="HD1009" s="223" t="b">
        <v>1</v>
      </c>
    </row>
    <row r="1010" spans="197:212" x14ac:dyDescent="0.2">
      <c r="GO1010" s="223">
        <v>0</v>
      </c>
      <c r="GP1010" s="223">
        <v>9</v>
      </c>
      <c r="GT1010" s="223">
        <v>13</v>
      </c>
      <c r="GU1010" s="223" t="s">
        <v>154</v>
      </c>
      <c r="GV1010" s="223">
        <v>0</v>
      </c>
      <c r="GW1010" s="223">
        <v>0</v>
      </c>
      <c r="GX1010" s="223">
        <v>0</v>
      </c>
      <c r="GY1010" s="223">
        <v>0</v>
      </c>
      <c r="GZ1010" s="223">
        <v>0</v>
      </c>
      <c r="HA1010" s="223">
        <v>0</v>
      </c>
      <c r="HB1010" s="223">
        <v>72</v>
      </c>
      <c r="HC1010" s="223">
        <v>17</v>
      </c>
      <c r="HD1010" s="223" t="b">
        <v>1</v>
      </c>
    </row>
    <row r="1011" spans="197:212" x14ac:dyDescent="0.2">
      <c r="GO1011" s="223">
        <v>0</v>
      </c>
      <c r="GP1011" s="223">
        <v>10</v>
      </c>
      <c r="GT1011" s="223">
        <v>13</v>
      </c>
      <c r="GU1011" s="223" t="s">
        <v>154</v>
      </c>
      <c r="GV1011" s="223">
        <v>0</v>
      </c>
      <c r="GW1011" s="223">
        <v>0</v>
      </c>
      <c r="GX1011" s="223">
        <v>0</v>
      </c>
      <c r="GY1011" s="223">
        <v>0</v>
      </c>
      <c r="GZ1011" s="223">
        <v>0</v>
      </c>
      <c r="HA1011" s="223">
        <v>0</v>
      </c>
      <c r="HB1011" s="223">
        <v>67</v>
      </c>
      <c r="HC1011" s="223">
        <v>17</v>
      </c>
      <c r="HD1011" s="223" t="b">
        <v>1</v>
      </c>
    </row>
    <row r="1012" spans="197:212" x14ac:dyDescent="0.2">
      <c r="GO1012" s="223">
        <v>0</v>
      </c>
      <c r="GP1012" s="223">
        <v>11</v>
      </c>
      <c r="GT1012" s="223">
        <v>14</v>
      </c>
      <c r="GU1012" s="223" t="s">
        <v>154</v>
      </c>
      <c r="GV1012" s="223">
        <v>0</v>
      </c>
      <c r="GW1012" s="223">
        <v>0</v>
      </c>
      <c r="GX1012" s="223">
        <v>0</v>
      </c>
      <c r="GY1012" s="223">
        <v>0</v>
      </c>
      <c r="GZ1012" s="223">
        <v>0</v>
      </c>
      <c r="HA1012" s="223">
        <v>0</v>
      </c>
      <c r="HB1012" s="223">
        <v>62</v>
      </c>
      <c r="HC1012" s="223">
        <v>17</v>
      </c>
      <c r="HD1012" s="223" t="b">
        <v>1</v>
      </c>
    </row>
    <row r="1013" spans="197:212" x14ac:dyDescent="0.2">
      <c r="GO1013" s="223">
        <v>0</v>
      </c>
      <c r="GP1013" s="223">
        <v>12</v>
      </c>
      <c r="GT1013" s="223">
        <v>14</v>
      </c>
      <c r="GU1013" s="223" t="s">
        <v>155</v>
      </c>
      <c r="GV1013" s="223">
        <v>2</v>
      </c>
      <c r="GW1013" s="223">
        <v>23</v>
      </c>
      <c r="GX1013" s="223">
        <v>20</v>
      </c>
      <c r="GY1013" s="223">
        <v>0</v>
      </c>
      <c r="GZ1013" s="223">
        <v>0</v>
      </c>
      <c r="HA1013" s="223">
        <v>0</v>
      </c>
      <c r="HB1013" s="223">
        <v>54</v>
      </c>
      <c r="HC1013" s="223">
        <v>17</v>
      </c>
      <c r="HD1013" s="223" t="b">
        <v>1</v>
      </c>
    </row>
    <row r="1014" spans="197:212" x14ac:dyDescent="0.2">
      <c r="GO1014" s="223">
        <v>0</v>
      </c>
      <c r="GP1014" s="223">
        <v>13</v>
      </c>
      <c r="GS1014" s="223">
        <v>0</v>
      </c>
      <c r="GT1014" s="223">
        <v>16</v>
      </c>
      <c r="GU1014" s="223" t="s">
        <v>155</v>
      </c>
      <c r="GV1014" s="223">
        <v>2</v>
      </c>
      <c r="GW1014" s="223">
        <v>10</v>
      </c>
      <c r="GX1014" s="223">
        <v>9</v>
      </c>
      <c r="GY1014" s="223">
        <v>0</v>
      </c>
      <c r="GZ1014" s="223">
        <v>0</v>
      </c>
      <c r="HA1014" s="223">
        <v>0</v>
      </c>
      <c r="HB1014" s="223">
        <v>69</v>
      </c>
      <c r="HC1014" s="223">
        <v>13</v>
      </c>
      <c r="HD1014" s="223" t="b">
        <v>1</v>
      </c>
    </row>
    <row r="1015" spans="197:212" x14ac:dyDescent="0.2">
      <c r="GO1015" s="223">
        <v>0</v>
      </c>
      <c r="GP1015" s="223">
        <v>14</v>
      </c>
      <c r="GS1015" s="223">
        <v>0</v>
      </c>
      <c r="GT1015" s="223">
        <v>16</v>
      </c>
      <c r="GU1015" s="223" t="s">
        <v>155</v>
      </c>
      <c r="GV1015" s="223">
        <v>2</v>
      </c>
      <c r="GW1015" s="223">
        <v>12</v>
      </c>
      <c r="GX1015" s="223">
        <v>11</v>
      </c>
      <c r="GY1015" s="223">
        <v>0</v>
      </c>
      <c r="GZ1015" s="223">
        <v>0</v>
      </c>
      <c r="HA1015" s="223">
        <v>0</v>
      </c>
      <c r="HB1015" s="223">
        <v>58</v>
      </c>
      <c r="HC1015" s="223">
        <v>13</v>
      </c>
      <c r="HD1015" s="223" t="b">
        <v>1</v>
      </c>
    </row>
    <row r="1016" spans="197:212" x14ac:dyDescent="0.2">
      <c r="GO1016" s="223">
        <v>0</v>
      </c>
      <c r="GP1016" s="223">
        <v>15</v>
      </c>
      <c r="GT1016" s="223">
        <v>8</v>
      </c>
      <c r="GU1016" s="223" t="s">
        <v>155</v>
      </c>
      <c r="GV1016" s="223">
        <v>2</v>
      </c>
      <c r="GW1016" s="223">
        <v>6</v>
      </c>
      <c r="GX1016" s="223">
        <v>5</v>
      </c>
      <c r="GY1016" s="223">
        <v>0</v>
      </c>
      <c r="GZ1016" s="223">
        <v>0</v>
      </c>
      <c r="HA1016" s="223">
        <v>0</v>
      </c>
      <c r="HB1016" s="223">
        <v>79</v>
      </c>
      <c r="HC1016" s="223">
        <v>9</v>
      </c>
      <c r="HD1016" s="223" t="b">
        <v>1</v>
      </c>
    </row>
    <row r="1017" spans="197:212" x14ac:dyDescent="0.2">
      <c r="GO1017" s="223">
        <v>0</v>
      </c>
      <c r="GP1017" s="223">
        <v>16</v>
      </c>
      <c r="GT1017" s="223">
        <v>8</v>
      </c>
      <c r="GU1017" s="223" t="s">
        <v>153</v>
      </c>
      <c r="GV1017" s="223">
        <v>2</v>
      </c>
      <c r="GW1017" s="223">
        <v>14</v>
      </c>
      <c r="GX1017" s="223">
        <v>13</v>
      </c>
      <c r="GY1017" s="223">
        <v>0</v>
      </c>
      <c r="GZ1017" s="223">
        <v>0</v>
      </c>
      <c r="HA1017" s="223">
        <v>0</v>
      </c>
      <c r="HB1017" s="223">
        <v>63</v>
      </c>
      <c r="HC1017" s="223">
        <v>9</v>
      </c>
      <c r="HD1017" s="223" t="b">
        <v>1</v>
      </c>
    </row>
    <row r="1018" spans="197:212" x14ac:dyDescent="0.2">
      <c r="GO1018" s="223">
        <v>0</v>
      </c>
      <c r="GP1018" s="223">
        <v>17</v>
      </c>
      <c r="GS1018" s="223">
        <v>0</v>
      </c>
      <c r="GT1018" s="223">
        <v>0</v>
      </c>
      <c r="GU1018" s="223" t="s">
        <v>155</v>
      </c>
      <c r="GV1018" s="223">
        <v>2</v>
      </c>
      <c r="GW1018" s="223">
        <v>21</v>
      </c>
      <c r="GX1018" s="223">
        <v>24</v>
      </c>
      <c r="GY1018" s="223">
        <v>0</v>
      </c>
      <c r="GZ1018" s="223">
        <v>0</v>
      </c>
      <c r="HA1018" s="223">
        <v>0</v>
      </c>
      <c r="HB1018" s="223">
        <v>25</v>
      </c>
      <c r="HC1018" s="223">
        <v>5</v>
      </c>
      <c r="HD1018" s="223" t="b">
        <v>1</v>
      </c>
    </row>
    <row r="1019" spans="197:212" x14ac:dyDescent="0.2">
      <c r="GO1019" s="223">
        <v>30</v>
      </c>
      <c r="GP1019" s="223">
        <v>18</v>
      </c>
      <c r="GT1019" s="223">
        <v>22</v>
      </c>
      <c r="GU1019" s="223" t="s">
        <v>154</v>
      </c>
      <c r="GV1019" s="223">
        <v>0</v>
      </c>
      <c r="GW1019" s="223">
        <v>0</v>
      </c>
      <c r="GX1019" s="223">
        <v>0</v>
      </c>
      <c r="GY1019" s="223">
        <v>0</v>
      </c>
      <c r="GZ1019" s="223">
        <v>0</v>
      </c>
      <c r="HA1019" s="223">
        <v>0</v>
      </c>
      <c r="HB1019" s="223">
        <v>22</v>
      </c>
      <c r="HC1019" s="223">
        <v>17</v>
      </c>
      <c r="HD1019" s="223" t="b">
        <v>1</v>
      </c>
    </row>
    <row r="1020" spans="197:212" x14ac:dyDescent="0.2">
      <c r="GO1020" s="223">
        <v>31</v>
      </c>
      <c r="GP1020" s="223">
        <v>19</v>
      </c>
      <c r="GS1020" s="223">
        <v>0</v>
      </c>
      <c r="GT1020" s="223">
        <v>21</v>
      </c>
      <c r="GU1020" s="223" t="s">
        <v>155</v>
      </c>
      <c r="GV1020" s="223">
        <v>2</v>
      </c>
      <c r="GW1020" s="223">
        <v>7</v>
      </c>
      <c r="GX1020" s="223">
        <v>4</v>
      </c>
      <c r="GY1020" s="223">
        <v>0</v>
      </c>
      <c r="GZ1020" s="223">
        <v>0</v>
      </c>
      <c r="HA1020" s="223">
        <v>0</v>
      </c>
      <c r="HB1020" s="223">
        <v>8</v>
      </c>
      <c r="HC1020" s="223">
        <v>13</v>
      </c>
      <c r="HD1020" s="223" t="b">
        <v>1</v>
      </c>
    </row>
    <row r="1021" spans="197:212" x14ac:dyDescent="0.2">
      <c r="GO1021" s="223">
        <v>0</v>
      </c>
      <c r="GP1021" s="223">
        <v>20</v>
      </c>
      <c r="GT1021" s="223">
        <v>12</v>
      </c>
      <c r="GU1021" s="223" t="s">
        <v>154</v>
      </c>
      <c r="GV1021" s="223">
        <v>0</v>
      </c>
      <c r="GW1021" s="223">
        <v>0</v>
      </c>
      <c r="GX1021" s="223">
        <v>0</v>
      </c>
      <c r="GY1021" s="223">
        <v>0</v>
      </c>
      <c r="GZ1021" s="223">
        <v>0</v>
      </c>
      <c r="HA1021" s="223">
        <v>0</v>
      </c>
      <c r="HB1021" s="223">
        <v>57</v>
      </c>
      <c r="HC1021" s="223">
        <v>21</v>
      </c>
      <c r="HD1021" s="223" t="b">
        <v>1</v>
      </c>
    </row>
    <row r="1022" spans="197:212" x14ac:dyDescent="0.2">
      <c r="GO1022" s="223">
        <v>24</v>
      </c>
      <c r="GP1022" s="223">
        <v>21</v>
      </c>
      <c r="GT1022" s="223">
        <v>17</v>
      </c>
      <c r="GU1022" s="223" t="s">
        <v>153</v>
      </c>
      <c r="GV1022" s="223">
        <v>2</v>
      </c>
      <c r="GW1022" s="223">
        <v>19</v>
      </c>
      <c r="GX1022" s="223">
        <v>22</v>
      </c>
      <c r="GY1022" s="223">
        <v>0</v>
      </c>
      <c r="GZ1022" s="223">
        <v>0</v>
      </c>
      <c r="HA1022" s="223">
        <v>0</v>
      </c>
      <c r="HB1022" s="223">
        <v>13</v>
      </c>
      <c r="HC1022" s="223">
        <v>9</v>
      </c>
      <c r="HD1022" s="223" t="b">
        <v>1</v>
      </c>
    </row>
    <row r="1023" spans="197:212" x14ac:dyDescent="0.2">
      <c r="GO1023" s="223">
        <v>32</v>
      </c>
      <c r="GP1023" s="223">
        <v>22</v>
      </c>
      <c r="GS1023" s="223">
        <v>0</v>
      </c>
      <c r="GT1023" s="223">
        <v>21</v>
      </c>
      <c r="GU1023" s="223" t="s">
        <v>155</v>
      </c>
      <c r="GV1023" s="223">
        <v>2</v>
      </c>
      <c r="GW1023" s="223">
        <v>3</v>
      </c>
      <c r="GX1023" s="223">
        <v>18</v>
      </c>
      <c r="GY1023" s="223">
        <v>0</v>
      </c>
      <c r="GZ1023" s="223">
        <v>0</v>
      </c>
      <c r="HA1023" s="223">
        <v>0</v>
      </c>
      <c r="HB1023" s="223">
        <v>19</v>
      </c>
      <c r="HC1023" s="223">
        <v>13</v>
      </c>
      <c r="HD1023" s="223" t="b">
        <v>1</v>
      </c>
    </row>
    <row r="1024" spans="197:212" x14ac:dyDescent="0.2">
      <c r="GO1024" s="223">
        <v>0</v>
      </c>
      <c r="GP1024" s="223">
        <v>23</v>
      </c>
      <c r="GT1024" s="223">
        <v>12</v>
      </c>
      <c r="GU1024" s="223" t="s">
        <v>154</v>
      </c>
      <c r="GV1024" s="223">
        <v>0</v>
      </c>
      <c r="GW1024" s="223">
        <v>0</v>
      </c>
      <c r="GX1024" s="223">
        <v>0</v>
      </c>
      <c r="GY1024" s="223">
        <v>0</v>
      </c>
      <c r="GZ1024" s="223">
        <v>0</v>
      </c>
      <c r="HA1024" s="223">
        <v>0</v>
      </c>
      <c r="HB1024" s="223">
        <v>52</v>
      </c>
      <c r="HC1024" s="223">
        <v>21</v>
      </c>
      <c r="HD1024" s="223" t="b">
        <v>1</v>
      </c>
    </row>
    <row r="1025" spans="197:212" x14ac:dyDescent="0.2">
      <c r="GO1025" s="223">
        <v>0</v>
      </c>
      <c r="GP1025" s="223">
        <v>24</v>
      </c>
      <c r="GT1025" s="223">
        <v>17</v>
      </c>
      <c r="GU1025" s="223" t="s">
        <v>153</v>
      </c>
      <c r="GV1025" s="223">
        <v>2</v>
      </c>
      <c r="GW1025" s="223">
        <v>31</v>
      </c>
      <c r="GX1025" s="223">
        <v>32</v>
      </c>
      <c r="GY1025" s="223">
        <v>0</v>
      </c>
      <c r="GZ1025" s="223">
        <v>0</v>
      </c>
      <c r="HA1025" s="223">
        <v>0</v>
      </c>
      <c r="HB1025" s="223">
        <v>38</v>
      </c>
      <c r="HC1025" s="223">
        <v>9</v>
      </c>
      <c r="HD1025" s="223" t="b">
        <v>1</v>
      </c>
    </row>
    <row r="1026" spans="197:212" x14ac:dyDescent="0.2">
      <c r="GP1026" s="223">
        <v>25</v>
      </c>
      <c r="GT1026" s="223">
        <v>29</v>
      </c>
      <c r="GU1026" s="233" t="s">
        <v>154</v>
      </c>
      <c r="GV1026" s="233">
        <v>0</v>
      </c>
      <c r="GW1026" s="223">
        <v>0</v>
      </c>
      <c r="GX1026" s="223">
        <v>0</v>
      </c>
      <c r="GY1026" s="223">
        <v>0</v>
      </c>
      <c r="GZ1026" s="223">
        <v>0</v>
      </c>
      <c r="HA1026" s="223">
        <v>0</v>
      </c>
      <c r="HB1026" s="223">
        <v>32</v>
      </c>
      <c r="HC1026" s="223">
        <v>21</v>
      </c>
      <c r="HD1026" s="223" t="b">
        <v>1</v>
      </c>
    </row>
    <row r="1027" spans="197:212" x14ac:dyDescent="0.2">
      <c r="GP1027" s="223">
        <v>26</v>
      </c>
      <c r="GT1027" s="223">
        <v>29</v>
      </c>
      <c r="GU1027" s="233" t="s">
        <v>154</v>
      </c>
      <c r="GV1027" s="233">
        <v>0</v>
      </c>
      <c r="GW1027" s="223">
        <v>0</v>
      </c>
      <c r="GX1027" s="223">
        <v>0</v>
      </c>
      <c r="GY1027" s="223">
        <v>0</v>
      </c>
      <c r="GZ1027" s="223">
        <v>0</v>
      </c>
      <c r="HA1027" s="223">
        <v>0</v>
      </c>
      <c r="HB1027" s="223">
        <v>27</v>
      </c>
      <c r="HC1027" s="223">
        <v>21</v>
      </c>
      <c r="HD1027" s="223" t="b">
        <v>1</v>
      </c>
    </row>
    <row r="1028" spans="197:212" x14ac:dyDescent="0.2">
      <c r="GP1028" s="223">
        <v>27</v>
      </c>
      <c r="GT1028" s="223">
        <v>32</v>
      </c>
      <c r="GU1028" s="223" t="s">
        <v>154</v>
      </c>
      <c r="GV1028" s="223">
        <v>0</v>
      </c>
      <c r="GW1028" s="223">
        <v>0</v>
      </c>
      <c r="GX1028" s="223">
        <v>0</v>
      </c>
      <c r="GY1028" s="223">
        <v>0</v>
      </c>
      <c r="GZ1028" s="223">
        <v>0</v>
      </c>
      <c r="HA1028" s="223">
        <v>0</v>
      </c>
      <c r="HB1028" s="223">
        <v>42</v>
      </c>
      <c r="HC1028" s="223">
        <v>17</v>
      </c>
      <c r="HD1028" s="223" t="b">
        <v>1</v>
      </c>
    </row>
    <row r="1029" spans="197:212" x14ac:dyDescent="0.2">
      <c r="GP1029" s="223">
        <v>28</v>
      </c>
      <c r="GT1029" s="223">
        <v>31</v>
      </c>
      <c r="GU1029" s="223" t="s">
        <v>154</v>
      </c>
      <c r="GV1029" s="223">
        <v>0</v>
      </c>
      <c r="GW1029" s="223">
        <v>0</v>
      </c>
      <c r="GX1029" s="223">
        <v>0</v>
      </c>
      <c r="GY1029" s="223">
        <v>0</v>
      </c>
      <c r="GZ1029" s="223">
        <v>0</v>
      </c>
      <c r="HA1029" s="223">
        <v>0</v>
      </c>
      <c r="HB1029" s="223">
        <v>37</v>
      </c>
      <c r="HC1029" s="223">
        <v>17</v>
      </c>
      <c r="HD1029" s="223" t="b">
        <v>1</v>
      </c>
    </row>
    <row r="1030" spans="197:212" x14ac:dyDescent="0.2">
      <c r="GP1030" s="223">
        <v>29</v>
      </c>
      <c r="GT1030" s="223">
        <v>31</v>
      </c>
      <c r="GU1030" s="223" t="s">
        <v>155</v>
      </c>
      <c r="GV1030" s="223">
        <v>2</v>
      </c>
      <c r="GW1030" s="223">
        <v>26</v>
      </c>
      <c r="GX1030" s="223">
        <v>25</v>
      </c>
      <c r="GY1030" s="223">
        <v>0</v>
      </c>
      <c r="GZ1030" s="223">
        <v>0</v>
      </c>
      <c r="HA1030" s="223">
        <v>0</v>
      </c>
      <c r="HB1030" s="223">
        <v>29</v>
      </c>
      <c r="HC1030" s="223">
        <v>17</v>
      </c>
      <c r="HD1030" s="223" t="b">
        <v>1</v>
      </c>
    </row>
    <row r="1031" spans="197:212" x14ac:dyDescent="0.2">
      <c r="GP1031" s="223">
        <v>30</v>
      </c>
      <c r="GT1031" s="223">
        <v>32</v>
      </c>
      <c r="GU1031" s="223" t="s">
        <v>154</v>
      </c>
      <c r="GV1031" s="223">
        <v>0</v>
      </c>
      <c r="GW1031" s="223">
        <v>0</v>
      </c>
      <c r="GX1031" s="223">
        <v>0</v>
      </c>
      <c r="GY1031" s="223">
        <v>0</v>
      </c>
      <c r="GZ1031" s="223">
        <v>0</v>
      </c>
      <c r="HA1031" s="223">
        <v>0</v>
      </c>
      <c r="HB1031" s="223">
        <v>47</v>
      </c>
      <c r="HC1031" s="223">
        <v>17</v>
      </c>
      <c r="HD1031" s="223" t="b">
        <v>1</v>
      </c>
    </row>
    <row r="1032" spans="197:212" x14ac:dyDescent="0.2">
      <c r="GP1032" s="223">
        <v>31</v>
      </c>
      <c r="GS1032" s="223">
        <v>0</v>
      </c>
      <c r="GT1032" s="223">
        <v>24</v>
      </c>
      <c r="GU1032" s="223" t="s">
        <v>155</v>
      </c>
      <c r="GV1032" s="223">
        <v>2</v>
      </c>
      <c r="GW1032" s="223">
        <v>29</v>
      </c>
      <c r="GX1032" s="223">
        <v>28</v>
      </c>
      <c r="GY1032" s="223">
        <v>0</v>
      </c>
      <c r="GZ1032" s="223">
        <v>0</v>
      </c>
      <c r="HA1032" s="223">
        <v>0</v>
      </c>
      <c r="HB1032" s="223">
        <v>33</v>
      </c>
      <c r="HC1032" s="223">
        <v>13</v>
      </c>
      <c r="HD1032" s="223" t="b">
        <v>1</v>
      </c>
    </row>
    <row r="1033" spans="197:212" x14ac:dyDescent="0.2">
      <c r="GP1033" s="223">
        <v>32</v>
      </c>
      <c r="GS1033" s="223">
        <v>0</v>
      </c>
      <c r="GT1033" s="223">
        <v>24</v>
      </c>
      <c r="GU1033" s="223" t="s">
        <v>155</v>
      </c>
      <c r="GV1033" s="223">
        <v>2</v>
      </c>
      <c r="GW1033" s="223">
        <v>27</v>
      </c>
      <c r="GX1033" s="223">
        <v>30</v>
      </c>
      <c r="GY1033" s="223">
        <v>0</v>
      </c>
      <c r="GZ1033" s="223">
        <v>0</v>
      </c>
      <c r="HA1033" s="223">
        <v>0</v>
      </c>
      <c r="HB1033" s="223">
        <v>44</v>
      </c>
      <c r="HC1033" s="223">
        <v>13</v>
      </c>
      <c r="HD1033" s="223" t="b">
        <v>1</v>
      </c>
    </row>
  </sheetData>
  <sheetProtection scenarios="1"/>
  <pageMargins left="0.7" right="0.7" top="0.75" bottom="0.75" header="0.3" footer="0.3"/>
  <pageSetup orientation="portrait" r:id="rId1"/>
  <headerFooter>
    <oddHeader>&amp;L&amp;EFor Evaluation Only</oddHeader>
    <oddFooter>&amp;L&amp;ETreePlan Trial, For Evaluation Only&amp;Z&amp;Ewww.TreePlan.com</oddFooter>
  </headerFooter>
  <ignoredErrors>
    <ignoredError sqref="AE3:AE13 AE38" emptyCellReferenc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Y1013"/>
  <sheetViews>
    <sheetView showGridLines="0" zoomScale="70" zoomScaleNormal="70" workbookViewId="0">
      <selection activeCell="V26" sqref="V26"/>
    </sheetView>
  </sheetViews>
  <sheetFormatPr baseColWidth="10" defaultRowHeight="14.25" x14ac:dyDescent="0.2"/>
  <cols>
    <col min="1" max="1" width="11" style="223"/>
    <col min="2" max="2" width="1.5" style="223" customWidth="1"/>
    <col min="3" max="3" width="4" style="223" customWidth="1"/>
    <col min="4" max="4" width="9" style="223" customWidth="1"/>
    <col min="5" max="5" width="4.75" style="223" customWidth="1"/>
    <col min="6" max="6" width="9.5" style="223" customWidth="1"/>
    <col min="7" max="7" width="2.125" style="223" customWidth="1"/>
    <col min="8" max="8" width="3" style="223" customWidth="1"/>
    <col min="9" max="9" width="3.625" style="223" customWidth="1"/>
    <col min="10" max="10" width="6.25" style="223" customWidth="1"/>
    <col min="11" max="11" width="8.125" style="223" customWidth="1"/>
    <col min="12" max="12" width="20.625" style="223" customWidth="1"/>
    <col min="13" max="13" width="2.25" style="223" customWidth="1"/>
    <col min="14" max="14" width="3.625" style="223" customWidth="1"/>
    <col min="15" max="15" width="11.125" style="223" bestFit="1" customWidth="1"/>
    <col min="16" max="16" width="14.5" style="223" customWidth="1"/>
    <col min="17" max="17" width="2.25" style="223" customWidth="1"/>
    <col min="18" max="18" width="5" style="223" customWidth="1"/>
    <col min="19" max="19" width="10.375" style="223" customWidth="1"/>
    <col min="20" max="20" width="4.375" style="223" customWidth="1"/>
    <col min="21" max="21" width="2.25" style="223" customWidth="1"/>
    <col min="22" max="22" width="3.625" style="223" customWidth="1"/>
    <col min="23" max="23" width="11.125" style="223" bestFit="1" customWidth="1"/>
    <col min="24" max="24" width="11.375" style="223" bestFit="1" customWidth="1"/>
    <col min="25" max="25" width="2.25" style="223" customWidth="1"/>
    <col min="26" max="26" width="12" style="223" bestFit="1" customWidth="1"/>
    <col min="27" max="28" width="11" style="223"/>
    <col min="29" max="29" width="2.25" style="223" customWidth="1"/>
    <col min="30" max="32" width="11" style="223"/>
    <col min="33" max="33" width="2.25" style="223" customWidth="1"/>
    <col min="34" max="36" width="11" style="223"/>
    <col min="37" max="37" width="2.25" style="223" customWidth="1"/>
    <col min="38" max="191" width="11" style="223"/>
    <col min="192" max="193" width="11.125" style="223" bestFit="1" customWidth="1"/>
    <col min="194" max="194" width="11" style="223"/>
    <col min="195" max="197" width="11.125" style="223" bestFit="1" customWidth="1"/>
    <col min="198" max="198" width="11" style="223"/>
    <col min="199" max="206" width="11.125" style="223" bestFit="1" customWidth="1"/>
    <col min="207" max="207" width="14.25" style="223" bestFit="1" customWidth="1"/>
    <col min="208" max="16384" width="11" style="223"/>
  </cols>
  <sheetData>
    <row r="1" spans="4:27" x14ac:dyDescent="0.2">
      <c r="J1" s="362"/>
      <c r="K1" s="362"/>
      <c r="S1" s="224"/>
    </row>
    <row r="2" spans="4:27" x14ac:dyDescent="0.2">
      <c r="J2" s="370">
        <f>+'Apendice 3'!AB1*'Apendice 3'!W3*'Apendice 3'!K12</f>
        <v>0.52650000000000008</v>
      </c>
      <c r="K2" s="370"/>
      <c r="L2" s="328"/>
      <c r="S2" s="226"/>
    </row>
    <row r="3" spans="4:27" x14ac:dyDescent="0.2">
      <c r="J3" s="371" t="s">
        <v>303</v>
      </c>
      <c r="K3" s="371"/>
      <c r="Z3" s="227"/>
      <c r="AA3" s="227"/>
    </row>
    <row r="4" spans="4:27" x14ac:dyDescent="0.2">
      <c r="J4" s="372"/>
      <c r="K4" s="372"/>
      <c r="S4" s="294">
        <f>+'Apendice 3'!AE3</f>
        <v>695275</v>
      </c>
      <c r="T4" s="294" t="str">
        <f>+'Apendice 3'!AF3</f>
        <v>R1</v>
      </c>
    </row>
    <row r="5" spans="4:27" x14ac:dyDescent="0.2">
      <c r="J5" s="373"/>
      <c r="K5" s="373"/>
      <c r="L5" s="229"/>
      <c r="S5" s="295"/>
      <c r="T5" s="295"/>
    </row>
    <row r="6" spans="4:27" x14ac:dyDescent="0.2">
      <c r="J6" s="372"/>
      <c r="K6" s="372"/>
      <c r="O6" s="226"/>
      <c r="S6" s="295"/>
      <c r="T6" s="296"/>
    </row>
    <row r="7" spans="4:27" x14ac:dyDescent="0.2">
      <c r="J7" s="370">
        <f>+'Apendice 3'!AB6*'Apendice 3'!W3*'Apendice 3'!K12</f>
        <v>5.850000000000001E-2</v>
      </c>
      <c r="K7" s="370"/>
      <c r="L7" s="328"/>
      <c r="S7" s="295"/>
      <c r="T7" s="295"/>
    </row>
    <row r="8" spans="4:27" x14ac:dyDescent="0.2">
      <c r="J8" s="371" t="s">
        <v>304</v>
      </c>
      <c r="K8" s="371"/>
      <c r="O8" s="228"/>
      <c r="P8" s="229"/>
      <c r="S8" s="295"/>
      <c r="T8" s="294"/>
    </row>
    <row r="9" spans="4:27" x14ac:dyDescent="0.2">
      <c r="J9" s="372"/>
      <c r="K9" s="372"/>
      <c r="S9" s="294">
        <f>+'Apendice 3'!AE8</f>
        <v>546525</v>
      </c>
      <c r="T9" s="294" t="str">
        <f>+'Apendice 3'!AF8</f>
        <v>R2</v>
      </c>
    </row>
    <row r="10" spans="4:27" x14ac:dyDescent="0.2">
      <c r="J10" s="372"/>
      <c r="K10" s="372"/>
      <c r="S10" s="295"/>
      <c r="T10" s="295"/>
      <c r="Z10" s="227"/>
      <c r="AA10" s="227"/>
    </row>
    <row r="11" spans="4:27" x14ac:dyDescent="0.2">
      <c r="J11" s="372"/>
      <c r="K11" s="372"/>
      <c r="T11" s="229"/>
    </row>
    <row r="12" spans="4:27" x14ac:dyDescent="0.2">
      <c r="J12" s="372"/>
      <c r="K12" s="372"/>
      <c r="W12" s="226"/>
    </row>
    <row r="13" spans="4:27" x14ac:dyDescent="0.2">
      <c r="J13" s="370">
        <f>+'Apendice 3'!W11*'Apendice 3'!K12</f>
        <v>6.5000000000000002E-2</v>
      </c>
      <c r="K13" s="370"/>
      <c r="L13" s="328"/>
      <c r="S13" s="224"/>
      <c r="Z13" s="227"/>
      <c r="AA13" s="227"/>
    </row>
    <row r="14" spans="4:27" x14ac:dyDescent="0.2">
      <c r="J14" s="371" t="s">
        <v>305</v>
      </c>
      <c r="K14" s="371"/>
      <c r="S14" s="226"/>
      <c r="X14" s="229"/>
    </row>
    <row r="15" spans="4:27" x14ac:dyDescent="0.2">
      <c r="J15" s="372"/>
      <c r="K15" s="372"/>
      <c r="S15" s="369">
        <f>+'Apendice 3'!AE13</f>
        <v>-1684725</v>
      </c>
      <c r="T15" s="294" t="str">
        <f>+'Apendice 3'!AF13</f>
        <v>R3</v>
      </c>
    </row>
    <row r="16" spans="4:27" x14ac:dyDescent="0.2">
      <c r="D16" s="226" t="s">
        <v>129</v>
      </c>
      <c r="J16" s="372"/>
      <c r="K16" s="372"/>
      <c r="S16" s="228"/>
      <c r="T16" s="229"/>
    </row>
    <row r="17" spans="2:27" x14ac:dyDescent="0.2">
      <c r="J17" s="372"/>
      <c r="K17" s="372"/>
      <c r="O17" s="226"/>
      <c r="P17" s="229"/>
    </row>
    <row r="18" spans="2:27" x14ac:dyDescent="0.2">
      <c r="J18" s="370">
        <f>+'Apendice 3'!AB26*'Apendice 3'!W28*'Apendice 3'!K37</f>
        <v>0.22312499999999996</v>
      </c>
      <c r="K18" s="370"/>
      <c r="L18" s="328"/>
    </row>
    <row r="19" spans="2:27" ht="15.75" x14ac:dyDescent="0.2">
      <c r="D19" s="383" t="s">
        <v>382</v>
      </c>
      <c r="E19" s="383"/>
      <c r="F19" s="383">
        <f>+'Apendice 4 (a)'!B27</f>
        <v>362670</v>
      </c>
      <c r="J19" s="371" t="s">
        <v>306</v>
      </c>
      <c r="K19" s="371"/>
      <c r="Z19" s="227"/>
      <c r="AA19" s="227"/>
    </row>
    <row r="20" spans="2:27" x14ac:dyDescent="0.2">
      <c r="J20" s="372"/>
      <c r="K20" s="372"/>
      <c r="S20" s="294">
        <f>+'Apendice 3'!AE28</f>
        <v>695275</v>
      </c>
      <c r="T20" s="294" t="str">
        <f>+'Apendice 3'!AF28</f>
        <v>R6</v>
      </c>
    </row>
    <row r="21" spans="2:27" x14ac:dyDescent="0.2">
      <c r="J21" s="373"/>
      <c r="K21" s="373"/>
      <c r="L21" s="229"/>
      <c r="S21" s="294"/>
      <c r="T21" s="294"/>
    </row>
    <row r="22" spans="2:27" x14ac:dyDescent="0.2">
      <c r="J22" s="372"/>
      <c r="K22" s="372"/>
      <c r="S22" s="294"/>
      <c r="T22" s="294"/>
    </row>
    <row r="23" spans="2:27" x14ac:dyDescent="0.2">
      <c r="J23" s="372"/>
      <c r="K23" s="372"/>
      <c r="S23" s="294"/>
      <c r="T23" s="294"/>
    </row>
    <row r="24" spans="2:27" x14ac:dyDescent="0.2">
      <c r="J24" s="370">
        <f>+'Apendice 3'!AB31*'Apendice 3'!W28*'Apendice 3'!K37</f>
        <v>7.4374999999999997E-2</v>
      </c>
      <c r="K24" s="370"/>
      <c r="L24" s="328"/>
      <c r="S24" s="294"/>
      <c r="T24" s="294"/>
      <c r="Z24" s="227"/>
      <c r="AA24" s="227"/>
    </row>
    <row r="25" spans="2:27" x14ac:dyDescent="0.2">
      <c r="J25" s="374" t="s">
        <v>307</v>
      </c>
      <c r="K25" s="374"/>
      <c r="O25" s="226"/>
      <c r="S25" s="294"/>
      <c r="T25" s="294"/>
    </row>
    <row r="26" spans="2:27" x14ac:dyDescent="0.2">
      <c r="J26" s="362"/>
      <c r="K26" s="362"/>
      <c r="S26" s="294">
        <f>+'Apendice 3'!AE33</f>
        <v>100275</v>
      </c>
      <c r="T26" s="294" t="str">
        <f>+'Apendice 3'!AF33</f>
        <v>R7</v>
      </c>
    </row>
    <row r="27" spans="2:27" x14ac:dyDescent="0.2">
      <c r="J27" s="362"/>
      <c r="K27" s="362"/>
      <c r="O27" s="228"/>
      <c r="P27" s="229"/>
      <c r="S27" s="294"/>
      <c r="T27" s="294"/>
    </row>
    <row r="28" spans="2:27" x14ac:dyDescent="0.2">
      <c r="J28" s="362"/>
      <c r="K28" s="362"/>
      <c r="S28" s="294"/>
      <c r="T28" s="294"/>
    </row>
    <row r="29" spans="2:27" x14ac:dyDescent="0.2">
      <c r="B29" s="232"/>
      <c r="J29" s="370">
        <f>+'Apendice 3'!W36*'Apendice 3'!K37</f>
        <v>5.2499999999999998E-2</v>
      </c>
      <c r="K29" s="370"/>
      <c r="L29" s="328"/>
      <c r="S29" s="294"/>
      <c r="T29" s="294"/>
      <c r="Z29" s="227"/>
      <c r="AA29" s="227"/>
    </row>
    <row r="30" spans="2:27" x14ac:dyDescent="0.2">
      <c r="J30" s="374" t="s">
        <v>308</v>
      </c>
      <c r="K30" s="374"/>
      <c r="S30" s="294"/>
      <c r="T30" s="294"/>
    </row>
    <row r="31" spans="2:27" x14ac:dyDescent="0.2">
      <c r="B31" s="229"/>
      <c r="J31" s="362"/>
      <c r="K31" s="362"/>
      <c r="S31" s="369">
        <f>+'Apendice 3'!AE38</f>
        <v>-1684725</v>
      </c>
      <c r="T31" s="294" t="str">
        <f>+'Apendice 3'!AF38</f>
        <v>R8</v>
      </c>
    </row>
    <row r="32" spans="2:27" ht="15" thickBot="1" x14ac:dyDescent="0.25">
      <c r="J32" s="362"/>
      <c r="K32" s="362"/>
      <c r="W32" s="224"/>
    </row>
    <row r="33" spans="10:27" ht="15" customHeight="1" x14ac:dyDescent="0.2">
      <c r="J33" s="404" t="s">
        <v>342</v>
      </c>
      <c r="K33" s="406">
        <f>+SUM(J29+J24+J18+J13+J7+J2)</f>
        <v>1</v>
      </c>
      <c r="Z33" s="227"/>
      <c r="AA33" s="227"/>
    </row>
    <row r="34" spans="10:27" ht="15" customHeight="1" thickBot="1" x14ac:dyDescent="0.25">
      <c r="J34" s="405"/>
      <c r="K34" s="407"/>
    </row>
    <row r="35" spans="10:27" ht="8.25" customHeight="1" x14ac:dyDescent="0.2"/>
    <row r="38" spans="10:27" x14ac:dyDescent="0.2">
      <c r="Z38" s="227"/>
      <c r="AA38" s="227"/>
    </row>
    <row r="43" spans="10:27" x14ac:dyDescent="0.2">
      <c r="Z43" s="227"/>
      <c r="AA43" s="227"/>
    </row>
    <row r="48" spans="10:27" x14ac:dyDescent="0.2">
      <c r="Z48" s="227"/>
      <c r="AA48" s="227"/>
    </row>
    <row r="51" spans="5:27" x14ac:dyDescent="0.2">
      <c r="E51" s="226"/>
    </row>
    <row r="53" spans="5:27" x14ac:dyDescent="0.2">
      <c r="E53" s="228"/>
      <c r="F53" s="229"/>
      <c r="G53" s="229"/>
      <c r="Z53" s="227"/>
      <c r="AA53" s="227"/>
    </row>
    <row r="58" spans="5:27" x14ac:dyDescent="0.2">
      <c r="Z58" s="227"/>
      <c r="AA58" s="227"/>
    </row>
    <row r="63" spans="5:27" x14ac:dyDescent="0.2">
      <c r="Z63" s="227"/>
      <c r="AA63" s="227"/>
    </row>
    <row r="64" spans="5:27" ht="15" x14ac:dyDescent="0.25">
      <c r="Z64" s="225"/>
    </row>
    <row r="980" spans="192:207" x14ac:dyDescent="0.2">
      <c r="GK980" s="233" t="s">
        <v>137</v>
      </c>
      <c r="GL980" s="233" t="s">
        <v>138</v>
      </c>
      <c r="GM980" s="233" t="s">
        <v>139</v>
      </c>
      <c r="GN980" s="233" t="s">
        <v>140</v>
      </c>
      <c r="GO980" s="233" t="s">
        <v>141</v>
      </c>
      <c r="GP980" s="233" t="s">
        <v>142</v>
      </c>
      <c r="GQ980" s="233" t="s">
        <v>143</v>
      </c>
      <c r="GR980" s="233" t="s">
        <v>144</v>
      </c>
      <c r="GS980" s="233" t="s">
        <v>145</v>
      </c>
      <c r="GT980" s="233" t="s">
        <v>146</v>
      </c>
      <c r="GU980" s="233" t="s">
        <v>147</v>
      </c>
      <c r="GV980" s="233" t="s">
        <v>148</v>
      </c>
      <c r="GW980" s="233" t="s">
        <v>149</v>
      </c>
      <c r="GX980" s="233" t="s">
        <v>150</v>
      </c>
      <c r="GY980" s="233" t="s">
        <v>151</v>
      </c>
    </row>
    <row r="981" spans="192:207" x14ac:dyDescent="0.2">
      <c r="GJ981" s="223">
        <v>0</v>
      </c>
      <c r="GK981" s="233">
        <v>0</v>
      </c>
      <c r="GL981" s="233" t="s">
        <v>152</v>
      </c>
      <c r="GM981" s="233">
        <v>0</v>
      </c>
      <c r="GN981" s="233">
        <v>0</v>
      </c>
      <c r="GO981" s="233">
        <v>0</v>
      </c>
      <c r="GP981" s="233" t="s">
        <v>153</v>
      </c>
      <c r="GQ981" s="233">
        <v>2</v>
      </c>
      <c r="GR981" s="233">
        <v>17</v>
      </c>
      <c r="GS981" s="233">
        <v>8</v>
      </c>
      <c r="GT981" s="233">
        <v>0</v>
      </c>
      <c r="GU981" s="233">
        <v>0</v>
      </c>
      <c r="GV981" s="233">
        <v>0</v>
      </c>
      <c r="GW981" s="234">
        <v>48</v>
      </c>
      <c r="GX981" s="234">
        <v>1</v>
      </c>
      <c r="GY981" s="234" t="b">
        <v>1</v>
      </c>
    </row>
    <row r="982" spans="192:207" x14ac:dyDescent="0.2">
      <c r="GJ982" s="223">
        <v>25</v>
      </c>
      <c r="GK982" s="233">
        <v>1</v>
      </c>
      <c r="GO982" s="233">
        <v>7</v>
      </c>
      <c r="GP982" s="233" t="s">
        <v>154</v>
      </c>
      <c r="GQ982" s="233">
        <v>0</v>
      </c>
      <c r="GR982" s="233">
        <v>0</v>
      </c>
      <c r="GS982" s="233">
        <v>0</v>
      </c>
      <c r="GT982" s="233">
        <v>0</v>
      </c>
      <c r="GU982" s="233">
        <v>0</v>
      </c>
      <c r="GV982" s="233">
        <v>0</v>
      </c>
      <c r="GW982" s="234">
        <v>7</v>
      </c>
      <c r="GX982" s="234">
        <v>21</v>
      </c>
      <c r="GY982" s="234" t="b">
        <v>1</v>
      </c>
    </row>
    <row r="983" spans="192:207" x14ac:dyDescent="0.2">
      <c r="GJ983" s="223">
        <v>26</v>
      </c>
      <c r="GK983" s="233">
        <v>2</v>
      </c>
      <c r="GO983" s="233">
        <v>7</v>
      </c>
      <c r="GP983" s="233" t="s">
        <v>154</v>
      </c>
      <c r="GQ983" s="233">
        <v>0</v>
      </c>
      <c r="GR983" s="233">
        <v>0</v>
      </c>
      <c r="GS983" s="233">
        <v>0</v>
      </c>
      <c r="GT983" s="233">
        <v>0</v>
      </c>
      <c r="GU983" s="233">
        <v>0</v>
      </c>
      <c r="GV983" s="233">
        <v>0</v>
      </c>
      <c r="GW983" s="234">
        <v>2</v>
      </c>
      <c r="GX983" s="234">
        <v>21</v>
      </c>
      <c r="GY983" s="234" t="b">
        <v>1</v>
      </c>
    </row>
    <row r="984" spans="192:207" x14ac:dyDescent="0.2">
      <c r="GJ984" s="223">
        <v>27</v>
      </c>
      <c r="GK984" s="223">
        <v>3</v>
      </c>
      <c r="GO984" s="223">
        <v>22</v>
      </c>
      <c r="GP984" s="223" t="s">
        <v>154</v>
      </c>
      <c r="GQ984" s="223">
        <v>0</v>
      </c>
      <c r="GR984" s="223">
        <v>0</v>
      </c>
      <c r="GS984" s="223">
        <v>0</v>
      </c>
      <c r="GT984" s="223">
        <v>0</v>
      </c>
      <c r="GU984" s="223">
        <v>0</v>
      </c>
      <c r="GV984" s="223">
        <v>0</v>
      </c>
      <c r="GW984" s="223">
        <v>17</v>
      </c>
      <c r="GX984" s="223">
        <v>17</v>
      </c>
      <c r="GY984" s="223" t="b">
        <v>1</v>
      </c>
    </row>
    <row r="985" spans="192:207" x14ac:dyDescent="0.2">
      <c r="GJ985" s="223">
        <v>28</v>
      </c>
      <c r="GK985" s="223">
        <v>4</v>
      </c>
      <c r="GO985" s="223">
        <v>19</v>
      </c>
      <c r="GP985" s="223" t="s">
        <v>154</v>
      </c>
      <c r="GQ985" s="223">
        <v>0</v>
      </c>
      <c r="GR985" s="223">
        <v>0</v>
      </c>
      <c r="GS985" s="223">
        <v>0</v>
      </c>
      <c r="GT985" s="223">
        <v>0</v>
      </c>
      <c r="GU985" s="223">
        <v>0</v>
      </c>
      <c r="GV985" s="223">
        <v>0</v>
      </c>
      <c r="GW985" s="223">
        <v>12</v>
      </c>
      <c r="GX985" s="223">
        <v>17</v>
      </c>
      <c r="GY985" s="223" t="b">
        <v>1</v>
      </c>
    </row>
    <row r="986" spans="192:207" x14ac:dyDescent="0.2">
      <c r="GJ986" s="223">
        <v>0</v>
      </c>
      <c r="GK986" s="223">
        <v>5</v>
      </c>
      <c r="GO986" s="223">
        <v>15</v>
      </c>
      <c r="GP986" s="223" t="s">
        <v>154</v>
      </c>
      <c r="GQ986" s="223">
        <v>0</v>
      </c>
      <c r="GR986" s="223">
        <v>0</v>
      </c>
      <c r="GS986" s="223">
        <v>0</v>
      </c>
      <c r="GT986" s="223">
        <v>0</v>
      </c>
      <c r="GU986" s="223">
        <v>0</v>
      </c>
      <c r="GV986" s="223">
        <v>0</v>
      </c>
      <c r="GW986" s="223">
        <v>82</v>
      </c>
      <c r="GX986" s="223">
        <v>13</v>
      </c>
      <c r="GY986" s="223" t="b">
        <v>1</v>
      </c>
    </row>
    <row r="987" spans="192:207" x14ac:dyDescent="0.2">
      <c r="GJ987" s="223">
        <v>0</v>
      </c>
      <c r="GK987" s="223">
        <v>6</v>
      </c>
      <c r="GO987" s="223">
        <v>15</v>
      </c>
      <c r="GP987" s="223" t="s">
        <v>154</v>
      </c>
      <c r="GQ987" s="223">
        <v>0</v>
      </c>
      <c r="GR987" s="223">
        <v>0</v>
      </c>
      <c r="GS987" s="223">
        <v>0</v>
      </c>
      <c r="GT987" s="223">
        <v>0</v>
      </c>
      <c r="GU987" s="223">
        <v>0</v>
      </c>
      <c r="GV987" s="223">
        <v>0</v>
      </c>
      <c r="GW987" s="223">
        <v>77</v>
      </c>
      <c r="GX987" s="223">
        <v>13</v>
      </c>
      <c r="GY987" s="223" t="b">
        <v>1</v>
      </c>
    </row>
    <row r="988" spans="192:207" x14ac:dyDescent="0.2">
      <c r="GJ988" s="223">
        <v>29</v>
      </c>
      <c r="GK988" s="223">
        <v>7</v>
      </c>
      <c r="GO988" s="223">
        <v>19</v>
      </c>
      <c r="GP988" s="223" t="s">
        <v>155</v>
      </c>
      <c r="GQ988" s="223">
        <v>2</v>
      </c>
      <c r="GR988" s="223">
        <v>2</v>
      </c>
      <c r="GS988" s="223">
        <v>1</v>
      </c>
      <c r="GT988" s="223">
        <v>0</v>
      </c>
      <c r="GU988" s="223">
        <v>0</v>
      </c>
      <c r="GV988" s="223">
        <v>0</v>
      </c>
      <c r="GW988" s="223">
        <v>4</v>
      </c>
      <c r="GX988" s="223">
        <v>17</v>
      </c>
      <c r="GY988" s="223" t="b">
        <v>1</v>
      </c>
    </row>
    <row r="989" spans="192:207" x14ac:dyDescent="0.2">
      <c r="GJ989" s="223">
        <v>0</v>
      </c>
      <c r="GK989" s="223">
        <v>8</v>
      </c>
      <c r="GN989" s="223">
        <v>0</v>
      </c>
      <c r="GO989" s="223">
        <v>0</v>
      </c>
      <c r="GP989" s="223" t="s">
        <v>155</v>
      </c>
      <c r="GQ989" s="223">
        <v>2</v>
      </c>
      <c r="GR989" s="223">
        <v>16</v>
      </c>
      <c r="GS989" s="223">
        <v>15</v>
      </c>
      <c r="GT989" s="223">
        <v>0</v>
      </c>
      <c r="GU989" s="223">
        <v>0</v>
      </c>
      <c r="GV989" s="223">
        <v>0</v>
      </c>
      <c r="GW989" s="223">
        <v>71</v>
      </c>
      <c r="GX989" s="223">
        <v>5</v>
      </c>
      <c r="GY989" s="223" t="b">
        <v>1</v>
      </c>
    </row>
    <row r="990" spans="192:207" x14ac:dyDescent="0.2">
      <c r="GJ990" s="223">
        <v>0</v>
      </c>
      <c r="GK990" s="223">
        <v>9</v>
      </c>
      <c r="GO990" s="223">
        <v>13</v>
      </c>
      <c r="GP990" s="223" t="s">
        <v>154</v>
      </c>
      <c r="GQ990" s="223">
        <v>0</v>
      </c>
      <c r="GR990" s="223">
        <v>0</v>
      </c>
      <c r="GS990" s="223">
        <v>0</v>
      </c>
      <c r="GT990" s="223">
        <v>0</v>
      </c>
      <c r="GU990" s="223">
        <v>0</v>
      </c>
      <c r="GV990" s="223">
        <v>0</v>
      </c>
      <c r="GW990" s="223">
        <v>72</v>
      </c>
      <c r="GX990" s="223">
        <v>17</v>
      </c>
      <c r="GY990" s="223" t="b">
        <v>1</v>
      </c>
    </row>
    <row r="991" spans="192:207" x14ac:dyDescent="0.2">
      <c r="GJ991" s="223">
        <v>0</v>
      </c>
      <c r="GK991" s="223">
        <v>10</v>
      </c>
      <c r="GO991" s="223">
        <v>13</v>
      </c>
      <c r="GP991" s="223" t="s">
        <v>154</v>
      </c>
      <c r="GQ991" s="223">
        <v>0</v>
      </c>
      <c r="GR991" s="223">
        <v>0</v>
      </c>
      <c r="GS991" s="223">
        <v>0</v>
      </c>
      <c r="GT991" s="223">
        <v>0</v>
      </c>
      <c r="GU991" s="223">
        <v>0</v>
      </c>
      <c r="GV991" s="223">
        <v>0</v>
      </c>
      <c r="GW991" s="223">
        <v>67</v>
      </c>
      <c r="GX991" s="223">
        <v>17</v>
      </c>
      <c r="GY991" s="223" t="b">
        <v>1</v>
      </c>
    </row>
    <row r="992" spans="192:207" x14ac:dyDescent="0.2">
      <c r="GJ992" s="223">
        <v>0</v>
      </c>
      <c r="GK992" s="223">
        <v>11</v>
      </c>
      <c r="GO992" s="223">
        <v>14</v>
      </c>
      <c r="GP992" s="223" t="s">
        <v>154</v>
      </c>
      <c r="GQ992" s="223">
        <v>0</v>
      </c>
      <c r="GR992" s="223">
        <v>0</v>
      </c>
      <c r="GS992" s="223">
        <v>0</v>
      </c>
      <c r="GT992" s="223">
        <v>0</v>
      </c>
      <c r="GU992" s="223">
        <v>0</v>
      </c>
      <c r="GV992" s="223">
        <v>0</v>
      </c>
      <c r="GW992" s="223">
        <v>62</v>
      </c>
      <c r="GX992" s="223">
        <v>17</v>
      </c>
      <c r="GY992" s="223" t="b">
        <v>1</v>
      </c>
    </row>
    <row r="993" spans="192:207" x14ac:dyDescent="0.2">
      <c r="GJ993" s="223">
        <v>0</v>
      </c>
      <c r="GK993" s="223">
        <v>12</v>
      </c>
      <c r="GO993" s="223">
        <v>14</v>
      </c>
      <c r="GP993" s="223" t="s">
        <v>155</v>
      </c>
      <c r="GQ993" s="223">
        <v>2</v>
      </c>
      <c r="GR993" s="223">
        <v>23</v>
      </c>
      <c r="GS993" s="223">
        <v>20</v>
      </c>
      <c r="GT993" s="223">
        <v>0</v>
      </c>
      <c r="GU993" s="223">
        <v>0</v>
      </c>
      <c r="GV993" s="223">
        <v>0</v>
      </c>
      <c r="GW993" s="223">
        <v>54</v>
      </c>
      <c r="GX993" s="223">
        <v>17</v>
      </c>
      <c r="GY993" s="223" t="b">
        <v>1</v>
      </c>
    </row>
    <row r="994" spans="192:207" x14ac:dyDescent="0.2">
      <c r="GJ994" s="223">
        <v>0</v>
      </c>
      <c r="GK994" s="223">
        <v>13</v>
      </c>
      <c r="GN994" s="223">
        <v>0</v>
      </c>
      <c r="GO994" s="223">
        <v>16</v>
      </c>
      <c r="GP994" s="223" t="s">
        <v>155</v>
      </c>
      <c r="GQ994" s="223">
        <v>2</v>
      </c>
      <c r="GR994" s="223">
        <v>10</v>
      </c>
      <c r="GS994" s="223">
        <v>9</v>
      </c>
      <c r="GT994" s="223">
        <v>0</v>
      </c>
      <c r="GU994" s="223">
        <v>0</v>
      </c>
      <c r="GV994" s="223">
        <v>0</v>
      </c>
      <c r="GW994" s="223">
        <v>69</v>
      </c>
      <c r="GX994" s="223">
        <v>13</v>
      </c>
      <c r="GY994" s="223" t="b">
        <v>1</v>
      </c>
    </row>
    <row r="995" spans="192:207" x14ac:dyDescent="0.2">
      <c r="GJ995" s="223">
        <v>0</v>
      </c>
      <c r="GK995" s="223">
        <v>14</v>
      </c>
      <c r="GN995" s="223">
        <v>0</v>
      </c>
      <c r="GO995" s="223">
        <v>16</v>
      </c>
      <c r="GP995" s="223" t="s">
        <v>155</v>
      </c>
      <c r="GQ995" s="223">
        <v>2</v>
      </c>
      <c r="GR995" s="223">
        <v>12</v>
      </c>
      <c r="GS995" s="223">
        <v>11</v>
      </c>
      <c r="GT995" s="223">
        <v>0</v>
      </c>
      <c r="GU995" s="223">
        <v>0</v>
      </c>
      <c r="GV995" s="223">
        <v>0</v>
      </c>
      <c r="GW995" s="223">
        <v>58</v>
      </c>
      <c r="GX995" s="223">
        <v>13</v>
      </c>
      <c r="GY995" s="223" t="b">
        <v>1</v>
      </c>
    </row>
    <row r="996" spans="192:207" x14ac:dyDescent="0.2">
      <c r="GJ996" s="223">
        <v>0</v>
      </c>
      <c r="GK996" s="223">
        <v>15</v>
      </c>
      <c r="GO996" s="223">
        <v>8</v>
      </c>
      <c r="GP996" s="223" t="s">
        <v>155</v>
      </c>
      <c r="GQ996" s="223">
        <v>2</v>
      </c>
      <c r="GR996" s="223">
        <v>6</v>
      </c>
      <c r="GS996" s="223">
        <v>5</v>
      </c>
      <c r="GT996" s="223">
        <v>0</v>
      </c>
      <c r="GU996" s="223">
        <v>0</v>
      </c>
      <c r="GV996" s="223">
        <v>0</v>
      </c>
      <c r="GW996" s="223">
        <v>79</v>
      </c>
      <c r="GX996" s="223">
        <v>9</v>
      </c>
      <c r="GY996" s="223" t="b">
        <v>1</v>
      </c>
    </row>
    <row r="997" spans="192:207" x14ac:dyDescent="0.2">
      <c r="GJ997" s="223">
        <v>0</v>
      </c>
      <c r="GK997" s="223">
        <v>16</v>
      </c>
      <c r="GO997" s="223">
        <v>8</v>
      </c>
      <c r="GP997" s="223" t="s">
        <v>153</v>
      </c>
      <c r="GQ997" s="223">
        <v>2</v>
      </c>
      <c r="GR997" s="223">
        <v>14</v>
      </c>
      <c r="GS997" s="223">
        <v>13</v>
      </c>
      <c r="GT997" s="223">
        <v>0</v>
      </c>
      <c r="GU997" s="223">
        <v>0</v>
      </c>
      <c r="GV997" s="223">
        <v>0</v>
      </c>
      <c r="GW997" s="223">
        <v>63</v>
      </c>
      <c r="GX997" s="223">
        <v>9</v>
      </c>
      <c r="GY997" s="223" t="b">
        <v>1</v>
      </c>
    </row>
    <row r="998" spans="192:207" x14ac:dyDescent="0.2">
      <c r="GJ998" s="223">
        <v>0</v>
      </c>
      <c r="GK998" s="223">
        <v>17</v>
      </c>
      <c r="GN998" s="223">
        <v>0</v>
      </c>
      <c r="GO998" s="223">
        <v>0</v>
      </c>
      <c r="GP998" s="223" t="s">
        <v>155</v>
      </c>
      <c r="GQ998" s="223">
        <v>2</v>
      </c>
      <c r="GR998" s="223">
        <v>21</v>
      </c>
      <c r="GS998" s="223">
        <v>24</v>
      </c>
      <c r="GT998" s="223">
        <v>0</v>
      </c>
      <c r="GU998" s="223">
        <v>0</v>
      </c>
      <c r="GV998" s="223">
        <v>0</v>
      </c>
      <c r="GW998" s="223">
        <v>25</v>
      </c>
      <c r="GX998" s="223">
        <v>5</v>
      </c>
      <c r="GY998" s="223" t="b">
        <v>1</v>
      </c>
    </row>
    <row r="999" spans="192:207" x14ac:dyDescent="0.2">
      <c r="GJ999" s="223">
        <v>30</v>
      </c>
      <c r="GK999" s="223">
        <v>18</v>
      </c>
      <c r="GO999" s="223">
        <v>22</v>
      </c>
      <c r="GP999" s="223" t="s">
        <v>154</v>
      </c>
      <c r="GQ999" s="223">
        <v>0</v>
      </c>
      <c r="GR999" s="223">
        <v>0</v>
      </c>
      <c r="GS999" s="223">
        <v>0</v>
      </c>
      <c r="GT999" s="223">
        <v>0</v>
      </c>
      <c r="GU999" s="223">
        <v>0</v>
      </c>
      <c r="GV999" s="223">
        <v>0</v>
      </c>
      <c r="GW999" s="223">
        <v>22</v>
      </c>
      <c r="GX999" s="223">
        <v>17</v>
      </c>
      <c r="GY999" s="223" t="b">
        <v>1</v>
      </c>
    </row>
    <row r="1000" spans="192:207" x14ac:dyDescent="0.2">
      <c r="GJ1000" s="223">
        <v>31</v>
      </c>
      <c r="GK1000" s="223">
        <v>19</v>
      </c>
      <c r="GN1000" s="223">
        <v>0</v>
      </c>
      <c r="GO1000" s="223">
        <v>21</v>
      </c>
      <c r="GP1000" s="223" t="s">
        <v>155</v>
      </c>
      <c r="GQ1000" s="223">
        <v>2</v>
      </c>
      <c r="GR1000" s="223">
        <v>7</v>
      </c>
      <c r="GS1000" s="223">
        <v>4</v>
      </c>
      <c r="GT1000" s="223">
        <v>0</v>
      </c>
      <c r="GU1000" s="223">
        <v>0</v>
      </c>
      <c r="GV1000" s="223">
        <v>0</v>
      </c>
      <c r="GW1000" s="223">
        <v>8</v>
      </c>
      <c r="GX1000" s="223">
        <v>13</v>
      </c>
      <c r="GY1000" s="223" t="b">
        <v>1</v>
      </c>
    </row>
    <row r="1001" spans="192:207" x14ac:dyDescent="0.2">
      <c r="GJ1001" s="223">
        <v>0</v>
      </c>
      <c r="GK1001" s="223">
        <v>20</v>
      </c>
      <c r="GO1001" s="223">
        <v>12</v>
      </c>
      <c r="GP1001" s="223" t="s">
        <v>154</v>
      </c>
      <c r="GQ1001" s="223">
        <v>0</v>
      </c>
      <c r="GR1001" s="223">
        <v>0</v>
      </c>
      <c r="GS1001" s="223">
        <v>0</v>
      </c>
      <c r="GT1001" s="223">
        <v>0</v>
      </c>
      <c r="GU1001" s="223">
        <v>0</v>
      </c>
      <c r="GV1001" s="223">
        <v>0</v>
      </c>
      <c r="GW1001" s="223">
        <v>57</v>
      </c>
      <c r="GX1001" s="223">
        <v>21</v>
      </c>
      <c r="GY1001" s="223" t="b">
        <v>1</v>
      </c>
    </row>
    <row r="1002" spans="192:207" x14ac:dyDescent="0.2">
      <c r="GJ1002" s="223">
        <v>24</v>
      </c>
      <c r="GK1002" s="223">
        <v>21</v>
      </c>
      <c r="GO1002" s="223">
        <v>17</v>
      </c>
      <c r="GP1002" s="223" t="s">
        <v>153</v>
      </c>
      <c r="GQ1002" s="223">
        <v>2</v>
      </c>
      <c r="GR1002" s="223">
        <v>19</v>
      </c>
      <c r="GS1002" s="223">
        <v>22</v>
      </c>
      <c r="GT1002" s="223">
        <v>0</v>
      </c>
      <c r="GU1002" s="223">
        <v>0</v>
      </c>
      <c r="GV1002" s="223">
        <v>0</v>
      </c>
      <c r="GW1002" s="223">
        <v>13</v>
      </c>
      <c r="GX1002" s="223">
        <v>9</v>
      </c>
      <c r="GY1002" s="223" t="b">
        <v>1</v>
      </c>
    </row>
    <row r="1003" spans="192:207" x14ac:dyDescent="0.2">
      <c r="GJ1003" s="223">
        <v>32</v>
      </c>
      <c r="GK1003" s="223">
        <v>22</v>
      </c>
      <c r="GN1003" s="223">
        <v>0</v>
      </c>
      <c r="GO1003" s="223">
        <v>21</v>
      </c>
      <c r="GP1003" s="223" t="s">
        <v>155</v>
      </c>
      <c r="GQ1003" s="223">
        <v>2</v>
      </c>
      <c r="GR1003" s="223">
        <v>3</v>
      </c>
      <c r="GS1003" s="223">
        <v>18</v>
      </c>
      <c r="GT1003" s="223">
        <v>0</v>
      </c>
      <c r="GU1003" s="223">
        <v>0</v>
      </c>
      <c r="GV1003" s="223">
        <v>0</v>
      </c>
      <c r="GW1003" s="223">
        <v>19</v>
      </c>
      <c r="GX1003" s="223">
        <v>13</v>
      </c>
      <c r="GY1003" s="223" t="b">
        <v>1</v>
      </c>
    </row>
    <row r="1004" spans="192:207" x14ac:dyDescent="0.2">
      <c r="GJ1004" s="223">
        <v>0</v>
      </c>
      <c r="GK1004" s="223">
        <v>23</v>
      </c>
      <c r="GO1004" s="223">
        <v>12</v>
      </c>
      <c r="GP1004" s="223" t="s">
        <v>154</v>
      </c>
      <c r="GQ1004" s="223">
        <v>0</v>
      </c>
      <c r="GR1004" s="223">
        <v>0</v>
      </c>
      <c r="GS1004" s="223">
        <v>0</v>
      </c>
      <c r="GT1004" s="223">
        <v>0</v>
      </c>
      <c r="GU1004" s="223">
        <v>0</v>
      </c>
      <c r="GV1004" s="223">
        <v>0</v>
      </c>
      <c r="GW1004" s="223">
        <v>52</v>
      </c>
      <c r="GX1004" s="223">
        <v>21</v>
      </c>
      <c r="GY1004" s="223" t="b">
        <v>1</v>
      </c>
    </row>
    <row r="1005" spans="192:207" x14ac:dyDescent="0.2">
      <c r="GJ1005" s="223">
        <v>0</v>
      </c>
      <c r="GK1005" s="223">
        <v>24</v>
      </c>
      <c r="GO1005" s="223">
        <v>17</v>
      </c>
      <c r="GP1005" s="223" t="s">
        <v>153</v>
      </c>
      <c r="GQ1005" s="223">
        <v>2</v>
      </c>
      <c r="GR1005" s="223">
        <v>31</v>
      </c>
      <c r="GS1005" s="223">
        <v>32</v>
      </c>
      <c r="GT1005" s="223">
        <v>0</v>
      </c>
      <c r="GU1005" s="223">
        <v>0</v>
      </c>
      <c r="GV1005" s="223">
        <v>0</v>
      </c>
      <c r="GW1005" s="223">
        <v>38</v>
      </c>
      <c r="GX1005" s="223">
        <v>9</v>
      </c>
      <c r="GY1005" s="223" t="b">
        <v>1</v>
      </c>
    </row>
    <row r="1006" spans="192:207" x14ac:dyDescent="0.2">
      <c r="GK1006" s="223">
        <v>25</v>
      </c>
      <c r="GO1006" s="223">
        <v>29</v>
      </c>
      <c r="GP1006" s="233" t="s">
        <v>154</v>
      </c>
      <c r="GQ1006" s="233">
        <v>0</v>
      </c>
      <c r="GR1006" s="223">
        <v>0</v>
      </c>
      <c r="GS1006" s="223">
        <v>0</v>
      </c>
      <c r="GT1006" s="223">
        <v>0</v>
      </c>
      <c r="GU1006" s="223">
        <v>0</v>
      </c>
      <c r="GV1006" s="223">
        <v>0</v>
      </c>
      <c r="GW1006" s="223">
        <v>32</v>
      </c>
      <c r="GX1006" s="223">
        <v>21</v>
      </c>
      <c r="GY1006" s="223" t="b">
        <v>1</v>
      </c>
    </row>
    <row r="1007" spans="192:207" x14ac:dyDescent="0.2">
      <c r="GK1007" s="223">
        <v>26</v>
      </c>
      <c r="GO1007" s="223">
        <v>29</v>
      </c>
      <c r="GP1007" s="233" t="s">
        <v>154</v>
      </c>
      <c r="GQ1007" s="233">
        <v>0</v>
      </c>
      <c r="GR1007" s="223">
        <v>0</v>
      </c>
      <c r="GS1007" s="223">
        <v>0</v>
      </c>
      <c r="GT1007" s="223">
        <v>0</v>
      </c>
      <c r="GU1007" s="223">
        <v>0</v>
      </c>
      <c r="GV1007" s="223">
        <v>0</v>
      </c>
      <c r="GW1007" s="223">
        <v>27</v>
      </c>
      <c r="GX1007" s="223">
        <v>21</v>
      </c>
      <c r="GY1007" s="223" t="b">
        <v>1</v>
      </c>
    </row>
    <row r="1008" spans="192:207" x14ac:dyDescent="0.2">
      <c r="GK1008" s="223">
        <v>27</v>
      </c>
      <c r="GO1008" s="223">
        <v>32</v>
      </c>
      <c r="GP1008" s="223" t="s">
        <v>154</v>
      </c>
      <c r="GQ1008" s="223">
        <v>0</v>
      </c>
      <c r="GR1008" s="223">
        <v>0</v>
      </c>
      <c r="GS1008" s="223">
        <v>0</v>
      </c>
      <c r="GT1008" s="223">
        <v>0</v>
      </c>
      <c r="GU1008" s="223">
        <v>0</v>
      </c>
      <c r="GV1008" s="223">
        <v>0</v>
      </c>
      <c r="GW1008" s="223">
        <v>42</v>
      </c>
      <c r="GX1008" s="223">
        <v>17</v>
      </c>
      <c r="GY1008" s="223" t="b">
        <v>1</v>
      </c>
    </row>
    <row r="1009" spans="193:207" x14ac:dyDescent="0.2">
      <c r="GK1009" s="223">
        <v>28</v>
      </c>
      <c r="GO1009" s="223">
        <v>31</v>
      </c>
      <c r="GP1009" s="223" t="s">
        <v>154</v>
      </c>
      <c r="GQ1009" s="223">
        <v>0</v>
      </c>
      <c r="GR1009" s="223">
        <v>0</v>
      </c>
      <c r="GS1009" s="223">
        <v>0</v>
      </c>
      <c r="GT1009" s="223">
        <v>0</v>
      </c>
      <c r="GU1009" s="223">
        <v>0</v>
      </c>
      <c r="GV1009" s="223">
        <v>0</v>
      </c>
      <c r="GW1009" s="223">
        <v>37</v>
      </c>
      <c r="GX1009" s="223">
        <v>17</v>
      </c>
      <c r="GY1009" s="223" t="b">
        <v>1</v>
      </c>
    </row>
    <row r="1010" spans="193:207" x14ac:dyDescent="0.2">
      <c r="GK1010" s="223">
        <v>29</v>
      </c>
      <c r="GO1010" s="223">
        <v>31</v>
      </c>
      <c r="GP1010" s="223" t="s">
        <v>155</v>
      </c>
      <c r="GQ1010" s="223">
        <v>2</v>
      </c>
      <c r="GR1010" s="223">
        <v>26</v>
      </c>
      <c r="GS1010" s="223">
        <v>25</v>
      </c>
      <c r="GT1010" s="223">
        <v>0</v>
      </c>
      <c r="GU1010" s="223">
        <v>0</v>
      </c>
      <c r="GV1010" s="223">
        <v>0</v>
      </c>
      <c r="GW1010" s="223">
        <v>29</v>
      </c>
      <c r="GX1010" s="223">
        <v>17</v>
      </c>
      <c r="GY1010" s="223" t="b">
        <v>1</v>
      </c>
    </row>
    <row r="1011" spans="193:207" x14ac:dyDescent="0.2">
      <c r="GK1011" s="223">
        <v>30</v>
      </c>
      <c r="GO1011" s="223">
        <v>32</v>
      </c>
      <c r="GP1011" s="223" t="s">
        <v>154</v>
      </c>
      <c r="GQ1011" s="223">
        <v>0</v>
      </c>
      <c r="GR1011" s="223">
        <v>0</v>
      </c>
      <c r="GS1011" s="223">
        <v>0</v>
      </c>
      <c r="GT1011" s="223">
        <v>0</v>
      </c>
      <c r="GU1011" s="223">
        <v>0</v>
      </c>
      <c r="GV1011" s="223">
        <v>0</v>
      </c>
      <c r="GW1011" s="223">
        <v>47</v>
      </c>
      <c r="GX1011" s="223">
        <v>17</v>
      </c>
      <c r="GY1011" s="223" t="b">
        <v>1</v>
      </c>
    </row>
    <row r="1012" spans="193:207" x14ac:dyDescent="0.2">
      <c r="GK1012" s="223">
        <v>31</v>
      </c>
      <c r="GN1012" s="223">
        <v>0</v>
      </c>
      <c r="GO1012" s="223">
        <v>24</v>
      </c>
      <c r="GP1012" s="223" t="s">
        <v>155</v>
      </c>
      <c r="GQ1012" s="223">
        <v>2</v>
      </c>
      <c r="GR1012" s="223">
        <v>29</v>
      </c>
      <c r="GS1012" s="223">
        <v>28</v>
      </c>
      <c r="GT1012" s="223">
        <v>0</v>
      </c>
      <c r="GU1012" s="223">
        <v>0</v>
      </c>
      <c r="GV1012" s="223">
        <v>0</v>
      </c>
      <c r="GW1012" s="223">
        <v>33</v>
      </c>
      <c r="GX1012" s="223">
        <v>13</v>
      </c>
      <c r="GY1012" s="223" t="b">
        <v>1</v>
      </c>
    </row>
    <row r="1013" spans="193:207" x14ac:dyDescent="0.2">
      <c r="GK1013" s="223">
        <v>32</v>
      </c>
      <c r="GN1013" s="223">
        <v>0</v>
      </c>
      <c r="GO1013" s="223">
        <v>24</v>
      </c>
      <c r="GP1013" s="223" t="s">
        <v>155</v>
      </c>
      <c r="GQ1013" s="223">
        <v>2</v>
      </c>
      <c r="GR1013" s="223">
        <v>27</v>
      </c>
      <c r="GS1013" s="223">
        <v>30</v>
      </c>
      <c r="GT1013" s="223">
        <v>0</v>
      </c>
      <c r="GU1013" s="223">
        <v>0</v>
      </c>
      <c r="GV1013" s="223">
        <v>0</v>
      </c>
      <c r="GW1013" s="223">
        <v>44</v>
      </c>
      <c r="GX1013" s="223">
        <v>13</v>
      </c>
      <c r="GY1013" s="223" t="b">
        <v>1</v>
      </c>
    </row>
  </sheetData>
  <sheetProtection scenarios="1"/>
  <mergeCells count="2">
    <mergeCell ref="J33:J34"/>
    <mergeCell ref="K33:K34"/>
  </mergeCells>
  <pageMargins left="0.7" right="0.7" top="0.75" bottom="0.75" header="0.3" footer="0.3"/>
  <pageSetup orientation="portrait" r:id="rId1"/>
  <headerFooter>
    <oddHeader>&amp;L&amp;EFor Evaluation Only</oddHeader>
    <oddFooter>&amp;L&amp;ETreePlan Trial, For Evaluation Only&amp;Z&amp;Ewww.TreePlan.com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V1033"/>
  <sheetViews>
    <sheetView showGridLines="0" topLeftCell="A39" zoomScale="50" zoomScaleNormal="50" workbookViewId="0">
      <selection activeCell="Y61" sqref="Y61"/>
    </sheetView>
  </sheetViews>
  <sheetFormatPr baseColWidth="10" defaultRowHeight="15.75" x14ac:dyDescent="0.25"/>
  <cols>
    <col min="1" max="1" width="11" style="91"/>
    <col min="2" max="2" width="2.25" style="91" customWidth="1"/>
    <col min="3" max="3" width="3.625" style="91" customWidth="1"/>
    <col min="4" max="5" width="11" style="91"/>
    <col min="6" max="6" width="2.25" style="91" customWidth="1"/>
    <col min="7" max="7" width="3.625" style="91" customWidth="1"/>
    <col min="8" max="9" width="11" style="91"/>
    <col min="10" max="10" width="2.25" style="91" customWidth="1"/>
    <col min="11" max="11" width="3.625" style="91" customWidth="1"/>
    <col min="12" max="13" width="11" style="91"/>
    <col min="14" max="14" width="2.25" style="91" customWidth="1"/>
    <col min="15" max="15" width="3.625" style="91" customWidth="1"/>
    <col min="16" max="17" width="11" style="91"/>
    <col min="18" max="18" width="2.25" style="91" customWidth="1"/>
    <col min="19" max="19" width="3.625" style="91" customWidth="1"/>
    <col min="20" max="21" width="11" style="91"/>
    <col min="22" max="22" width="2.25" style="91" customWidth="1"/>
    <col min="23" max="25" width="11" style="91"/>
    <col min="26" max="26" width="2.25" style="91" customWidth="1"/>
    <col min="27" max="29" width="11" style="91"/>
    <col min="30" max="30" width="2.25" style="91" customWidth="1"/>
    <col min="31" max="33" width="11" style="91"/>
    <col min="34" max="34" width="2.25" style="91" customWidth="1"/>
    <col min="35" max="16384" width="11" style="91"/>
  </cols>
  <sheetData>
    <row r="1" spans="1:23" x14ac:dyDescent="0.25">
      <c r="A1" s="90"/>
      <c r="T1" s="92">
        <v>0.98</v>
      </c>
      <c r="W1" s="93"/>
    </row>
    <row r="2" spans="1:23" x14ac:dyDescent="0.25">
      <c r="T2" s="101" t="s">
        <v>122</v>
      </c>
    </row>
    <row r="3" spans="1:23" x14ac:dyDescent="0.25">
      <c r="P3" s="92">
        <v>0.7</v>
      </c>
      <c r="W3" s="94">
        <f>SUM(D27,H15,L10,P6,T4)</f>
        <v>6268500</v>
      </c>
    </row>
    <row r="4" spans="1:23" x14ac:dyDescent="0.25">
      <c r="P4" s="101" t="s">
        <v>123</v>
      </c>
      <c r="T4" s="95">
        <v>0</v>
      </c>
      <c r="U4" s="96">
        <f>W3</f>
        <v>6268500</v>
      </c>
    </row>
    <row r="6" spans="1:23" x14ac:dyDescent="0.25">
      <c r="P6" s="95">
        <v>0</v>
      </c>
      <c r="Q6" s="96">
        <f>IF(ABS(1-(T1+T6))&lt;=0.00001,T1*U4+T6*U9,NA())</f>
        <v>6270187</v>
      </c>
      <c r="T6" s="92">
        <v>0.02</v>
      </c>
    </row>
    <row r="7" spans="1:23" x14ac:dyDescent="0.25">
      <c r="T7" s="101" t="s">
        <v>124</v>
      </c>
    </row>
    <row r="8" spans="1:23" x14ac:dyDescent="0.25">
      <c r="L8" s="101" t="s">
        <v>125</v>
      </c>
      <c r="W8" s="94">
        <f>SUM(D27,H15,L10,P6,T9)</f>
        <v>6352850</v>
      </c>
    </row>
    <row r="9" spans="1:23" x14ac:dyDescent="0.25">
      <c r="T9" s="95">
        <v>84350</v>
      </c>
      <c r="U9" s="96">
        <f>W8</f>
        <v>6352850</v>
      </c>
    </row>
    <row r="10" spans="1:23" x14ac:dyDescent="0.25">
      <c r="L10" s="95">
        <v>2051000</v>
      </c>
      <c r="M10" s="96">
        <f>IF(ABS(1-(P3+P11))&lt;=0.00001,P3*Q6+P11*Q14,NA())</f>
        <v>6314695.8999999994</v>
      </c>
    </row>
    <row r="11" spans="1:23" x14ac:dyDescent="0.25">
      <c r="P11" s="92">
        <v>0.3</v>
      </c>
    </row>
    <row r="12" spans="1:23" x14ac:dyDescent="0.25">
      <c r="H12" s="92">
        <v>0.65</v>
      </c>
      <c r="P12" s="101" t="s">
        <v>126</v>
      </c>
    </row>
    <row r="13" spans="1:23" x14ac:dyDescent="0.25">
      <c r="H13" s="101" t="s">
        <v>127</v>
      </c>
      <c r="W13" s="94">
        <f>SUM(D27,H15,L10,P14)</f>
        <v>6418550</v>
      </c>
    </row>
    <row r="14" spans="1:23" x14ac:dyDescent="0.25">
      <c r="J14" s="91">
        <f>IF(I15=M10,1,IF(I15=M21,2))</f>
        <v>2</v>
      </c>
      <c r="P14" s="95">
        <v>150050</v>
      </c>
      <c r="Q14" s="96">
        <f>W13</f>
        <v>6418550</v>
      </c>
    </row>
    <row r="15" spans="1:23" x14ac:dyDescent="0.25">
      <c r="H15" s="95">
        <v>0</v>
      </c>
      <c r="I15" s="96">
        <f>MIN(M10,M21)</f>
        <v>6136462.5</v>
      </c>
    </row>
    <row r="16" spans="1:23" x14ac:dyDescent="0.25">
      <c r="P16" s="92">
        <v>0.35</v>
      </c>
    </row>
    <row r="17" spans="4:23" x14ac:dyDescent="0.25">
      <c r="P17" s="101" t="s">
        <v>122</v>
      </c>
    </row>
    <row r="18" spans="4:23" x14ac:dyDescent="0.25">
      <c r="W18" s="94">
        <f>SUM(D27,H15,L21,P19)</f>
        <v>4217500</v>
      </c>
    </row>
    <row r="19" spans="4:23" x14ac:dyDescent="0.25">
      <c r="L19" s="101" t="s">
        <v>128</v>
      </c>
      <c r="P19" s="95">
        <v>0</v>
      </c>
      <c r="Q19" s="96">
        <f>W18</f>
        <v>4217500</v>
      </c>
    </row>
    <row r="21" spans="4:23" x14ac:dyDescent="0.25">
      <c r="L21" s="95">
        <v>0</v>
      </c>
      <c r="M21" s="96">
        <f>IF(ABS(1-(P16+P21))&lt;=0.00001,P16*Q19+P21*Q24,NA())</f>
        <v>6136462.5</v>
      </c>
      <c r="P21" s="92">
        <v>0.65</v>
      </c>
    </row>
    <row r="22" spans="4:23" x14ac:dyDescent="0.25">
      <c r="P22" s="101" t="s">
        <v>124</v>
      </c>
    </row>
    <row r="23" spans="4:23" x14ac:dyDescent="0.25">
      <c r="W23" s="94">
        <f>SUM(D27,H15,L21,P24)</f>
        <v>7169750</v>
      </c>
    </row>
    <row r="24" spans="4:23" x14ac:dyDescent="0.25">
      <c r="P24" s="95">
        <v>2952250</v>
      </c>
      <c r="Q24" s="96">
        <f>W23</f>
        <v>7169750</v>
      </c>
    </row>
    <row r="25" spans="4:23" x14ac:dyDescent="0.25">
      <c r="D25" s="101" t="s">
        <v>129</v>
      </c>
    </row>
    <row r="26" spans="4:23" x14ac:dyDescent="0.25">
      <c r="T26" s="92">
        <v>0.85</v>
      </c>
    </row>
    <row r="27" spans="4:23" x14ac:dyDescent="0.25">
      <c r="D27" s="95">
        <v>4217500</v>
      </c>
      <c r="E27" s="96">
        <f>IF(ABS(1-(H12+H37))&lt;=0.00001,H12*I15+H37*I40,NA())</f>
        <v>6209408.953125</v>
      </c>
      <c r="T27" s="101" t="s">
        <v>122</v>
      </c>
    </row>
    <row r="28" spans="4:23" x14ac:dyDescent="0.25">
      <c r="P28" s="92">
        <v>0.69</v>
      </c>
      <c r="W28" s="94">
        <f>SUM(D27,H40,L35,P31,T29)</f>
        <v>6268500</v>
      </c>
    </row>
    <row r="29" spans="4:23" x14ac:dyDescent="0.25">
      <c r="P29" s="101" t="s">
        <v>123</v>
      </c>
      <c r="T29" s="95">
        <v>0</v>
      </c>
      <c r="U29" s="96">
        <f>W28</f>
        <v>6268500</v>
      </c>
    </row>
    <row r="31" spans="4:23" x14ac:dyDescent="0.25">
      <c r="P31" s="95">
        <v>0</v>
      </c>
      <c r="Q31" s="96">
        <f>IF(ABS(1-(T26+T31))&lt;=0.00001,T26*U29+T31*U34,NA())</f>
        <v>6363393.75</v>
      </c>
      <c r="T31" s="92">
        <v>0.15</v>
      </c>
    </row>
    <row r="32" spans="4:23" x14ac:dyDescent="0.25">
      <c r="T32" s="101" t="s">
        <v>124</v>
      </c>
    </row>
    <row r="33" spans="1:23" x14ac:dyDescent="0.25">
      <c r="L33" s="101" t="s">
        <v>125</v>
      </c>
      <c r="W33" s="94">
        <f>SUM(D27,H40,L35,P31,T34)</f>
        <v>6901125</v>
      </c>
    </row>
    <row r="34" spans="1:23" x14ac:dyDescent="0.25">
      <c r="T34" s="95">
        <v>632625</v>
      </c>
      <c r="U34" s="96">
        <f>W33</f>
        <v>6901125</v>
      </c>
    </row>
    <row r="35" spans="1:23" x14ac:dyDescent="0.25">
      <c r="L35" s="95">
        <v>2051000</v>
      </c>
      <c r="M35" s="96">
        <f>IF(ABS(1-(P28+P36))&lt;=0.00001,P28*Q31+P36*Q39,NA())</f>
        <v>6344880.9375</v>
      </c>
    </row>
    <row r="36" spans="1:23" x14ac:dyDescent="0.25">
      <c r="P36" s="92">
        <v>0.31</v>
      </c>
    </row>
    <row r="37" spans="1:23" x14ac:dyDescent="0.25">
      <c r="H37" s="97">
        <v>0.35</v>
      </c>
      <c r="P37" s="101" t="s">
        <v>161</v>
      </c>
    </row>
    <row r="38" spans="1:23" x14ac:dyDescent="0.25">
      <c r="H38" s="101" t="s">
        <v>158</v>
      </c>
      <c r="W38" s="94">
        <f>SUM(D27,H40,L35,P39)</f>
        <v>6303675</v>
      </c>
    </row>
    <row r="39" spans="1:23" x14ac:dyDescent="0.25">
      <c r="J39" s="91">
        <f>IF(I40=M35,1,IF(I40=M46,2))</f>
        <v>1</v>
      </c>
      <c r="P39" s="95">
        <v>35175</v>
      </c>
      <c r="Q39" s="96">
        <f>W38</f>
        <v>6303675</v>
      </c>
    </row>
    <row r="40" spans="1:23" x14ac:dyDescent="0.25">
      <c r="H40" s="95">
        <v>0</v>
      </c>
      <c r="I40" s="96">
        <f>MIN(M35,M46)</f>
        <v>6344880.9375</v>
      </c>
    </row>
    <row r="41" spans="1:23" x14ac:dyDescent="0.25">
      <c r="P41" s="92">
        <v>0.2</v>
      </c>
    </row>
    <row r="42" spans="1:23" x14ac:dyDescent="0.25">
      <c r="P42" s="101" t="s">
        <v>122</v>
      </c>
    </row>
    <row r="43" spans="1:23" x14ac:dyDescent="0.25">
      <c r="W43" s="94">
        <f>SUM(D27,H40,L46,P44)</f>
        <v>4217500</v>
      </c>
    </row>
    <row r="44" spans="1:23" x14ac:dyDescent="0.25">
      <c r="L44" s="101" t="s">
        <v>128</v>
      </c>
      <c r="P44" s="95">
        <v>0</v>
      </c>
      <c r="Q44" s="96">
        <f>W43</f>
        <v>4217500</v>
      </c>
    </row>
    <row r="46" spans="1:23" x14ac:dyDescent="0.25">
      <c r="L46" s="95">
        <v>0</v>
      </c>
      <c r="M46" s="96">
        <f>IF(ABS(1-(P41+P46))&lt;=0.00001,P41*Q44+P46*Q49,NA())</f>
        <v>6916700</v>
      </c>
      <c r="P46" s="92">
        <v>0.8</v>
      </c>
    </row>
    <row r="47" spans="1:23" x14ac:dyDescent="0.25">
      <c r="P47" s="101" t="s">
        <v>124</v>
      </c>
    </row>
    <row r="48" spans="1:23" x14ac:dyDescent="0.25">
      <c r="A48" s="98"/>
      <c r="W48" s="94">
        <f>SUM(D27,H40,L46,P49)</f>
        <v>7591500</v>
      </c>
    </row>
    <row r="49" spans="1:23" x14ac:dyDescent="0.25">
      <c r="B49" s="91">
        <f>IF(A50=E27,1,IF(A50=E73,2))</f>
        <v>2</v>
      </c>
      <c r="P49" s="95">
        <v>3374000</v>
      </c>
      <c r="Q49" s="96">
        <f>W48</f>
        <v>7591500</v>
      </c>
    </row>
    <row r="50" spans="1:23" x14ac:dyDescent="0.25">
      <c r="A50" s="96">
        <f>MIN(E27,E73)</f>
        <v>6148622.1950000003</v>
      </c>
    </row>
    <row r="51" spans="1:23" x14ac:dyDescent="0.25">
      <c r="T51" s="97">
        <v>0.95</v>
      </c>
    </row>
    <row r="52" spans="1:23" x14ac:dyDescent="0.25">
      <c r="T52" s="101" t="s">
        <v>122</v>
      </c>
    </row>
    <row r="53" spans="1:23" x14ac:dyDescent="0.25">
      <c r="P53" s="92">
        <v>0.65</v>
      </c>
      <c r="W53" s="94">
        <f>SUM(D73,H65,L60,P56,T54)</f>
        <v>5960500</v>
      </c>
    </row>
    <row r="54" spans="1:23" x14ac:dyDescent="0.25">
      <c r="P54" s="101" t="s">
        <v>159</v>
      </c>
      <c r="T54" s="95">
        <v>0</v>
      </c>
      <c r="U54" s="96">
        <f>W53</f>
        <v>5960500</v>
      </c>
    </row>
    <row r="56" spans="1:23" x14ac:dyDescent="0.25">
      <c r="P56" s="95">
        <v>0</v>
      </c>
      <c r="Q56" s="96">
        <f>IF(ABS(1-(T51+T56))&lt;=0.00001,T51*U54+T56*U59,NA())</f>
        <v>6001555</v>
      </c>
      <c r="T56" s="97">
        <v>0.05</v>
      </c>
    </row>
    <row r="57" spans="1:23" x14ac:dyDescent="0.25">
      <c r="T57" s="101" t="s">
        <v>124</v>
      </c>
    </row>
    <row r="58" spans="1:23" x14ac:dyDescent="0.25">
      <c r="L58" s="101" t="s">
        <v>130</v>
      </c>
      <c r="W58" s="94">
        <f>SUM(D73,H65,L60,P56,T59)</f>
        <v>6781600</v>
      </c>
    </row>
    <row r="59" spans="1:23" x14ac:dyDescent="0.25">
      <c r="T59" s="95">
        <v>821100</v>
      </c>
      <c r="U59" s="96">
        <f>W58</f>
        <v>6781600</v>
      </c>
    </row>
    <row r="60" spans="1:23" x14ac:dyDescent="0.25">
      <c r="L60" s="95">
        <v>486500</v>
      </c>
      <c r="M60" s="96">
        <f>IF(ABS(1-(P53+P61))&lt;=0.00001,P53*Q56+P61*Q64,NA())</f>
        <v>5987185.75</v>
      </c>
    </row>
    <row r="61" spans="1:23" x14ac:dyDescent="0.25">
      <c r="P61" s="92">
        <v>0.35</v>
      </c>
    </row>
    <row r="62" spans="1:23" x14ac:dyDescent="0.25">
      <c r="H62" s="92">
        <v>0.62</v>
      </c>
      <c r="P62" s="101" t="s">
        <v>160</v>
      </c>
    </row>
    <row r="63" spans="1:23" x14ac:dyDescent="0.25">
      <c r="H63" s="101" t="s">
        <v>131</v>
      </c>
      <c r="W63" s="94">
        <f>SUM(D73,H65,L60,P64)</f>
        <v>5960500</v>
      </c>
    </row>
    <row r="64" spans="1:23" x14ac:dyDescent="0.25">
      <c r="J64" s="91">
        <f>IF(I65=M60,1,IF(I65=M71,2))</f>
        <v>1</v>
      </c>
      <c r="P64" s="95">
        <v>0</v>
      </c>
      <c r="Q64" s="96">
        <f>W63</f>
        <v>5960500</v>
      </c>
    </row>
    <row r="65" spans="4:23" x14ac:dyDescent="0.25">
      <c r="H65" s="95">
        <v>5474000</v>
      </c>
      <c r="I65" s="96">
        <f>MIN(M60,M71)</f>
        <v>5987185.75</v>
      </c>
    </row>
    <row r="66" spans="4:23" x14ac:dyDescent="0.25">
      <c r="P66" s="92">
        <v>0.3</v>
      </c>
    </row>
    <row r="67" spans="4:23" x14ac:dyDescent="0.25">
      <c r="P67" s="101" t="s">
        <v>132</v>
      </c>
    </row>
    <row r="68" spans="4:23" x14ac:dyDescent="0.25">
      <c r="W68" s="94">
        <f>SUM(D73,H65,L71,P69)</f>
        <v>6046250</v>
      </c>
    </row>
    <row r="69" spans="4:23" x14ac:dyDescent="0.25">
      <c r="L69" s="101" t="s">
        <v>133</v>
      </c>
      <c r="P69" s="95">
        <v>0</v>
      </c>
      <c r="Q69" s="96">
        <f>W68</f>
        <v>6046250</v>
      </c>
    </row>
    <row r="71" spans="4:23" x14ac:dyDescent="0.25">
      <c r="D71" s="101" t="s">
        <v>134</v>
      </c>
      <c r="L71" s="95">
        <v>572250</v>
      </c>
      <c r="M71" s="96">
        <f>IF(ABS(1-(P66+P71))&lt;=0.00001,P66*Q69+P71*Q74,NA())</f>
        <v>6110562.5</v>
      </c>
      <c r="P71" s="92">
        <v>0.7</v>
      </c>
    </row>
    <row r="72" spans="4:23" x14ac:dyDescent="0.25">
      <c r="P72" s="101" t="s">
        <v>135</v>
      </c>
    </row>
    <row r="73" spans="4:23" x14ac:dyDescent="0.25">
      <c r="D73" s="95">
        <v>0</v>
      </c>
      <c r="E73" s="96">
        <f>IF(ABS(1-(H62+H78))&lt;=0.00001,H62*I65+H78*I81,NA())</f>
        <v>6148622.1950000003</v>
      </c>
      <c r="W73" s="94">
        <f>SUM(D73,H65,L71,P74)</f>
        <v>6138125</v>
      </c>
    </row>
    <row r="74" spans="4:23" x14ac:dyDescent="0.25">
      <c r="P74" s="95">
        <v>91875</v>
      </c>
      <c r="Q74" s="96">
        <f>W73</f>
        <v>6138125</v>
      </c>
    </row>
    <row r="76" spans="4:23" x14ac:dyDescent="0.25">
      <c r="L76" s="92">
        <v>0.45</v>
      </c>
    </row>
    <row r="77" spans="4:23" x14ac:dyDescent="0.25">
      <c r="L77" s="101" t="s">
        <v>157</v>
      </c>
    </row>
    <row r="78" spans="4:23" x14ac:dyDescent="0.25">
      <c r="H78" s="92">
        <v>0.38</v>
      </c>
      <c r="W78" s="94">
        <f>SUM(D73,H81,L79)</f>
        <v>4922855</v>
      </c>
    </row>
    <row r="79" spans="4:23" x14ac:dyDescent="0.25">
      <c r="H79" s="101" t="s">
        <v>136</v>
      </c>
      <c r="L79" s="95">
        <v>0</v>
      </c>
      <c r="M79" s="96">
        <f>W78</f>
        <v>4922855</v>
      </c>
    </row>
    <row r="81" spans="8:23" x14ac:dyDescent="0.25">
      <c r="H81" s="95">
        <v>4922855</v>
      </c>
      <c r="I81" s="96">
        <f>IF(ABS(1-(L76+L81))&lt;=0.00001,L76*M79+L81*M84,NA())</f>
        <v>6412018.5</v>
      </c>
      <c r="L81" s="92">
        <v>0.55000000000000004</v>
      </c>
    </row>
    <row r="82" spans="8:23" x14ac:dyDescent="0.25">
      <c r="L82" s="101" t="s">
        <v>156</v>
      </c>
    </row>
    <row r="83" spans="8:23" x14ac:dyDescent="0.25">
      <c r="W83" s="94">
        <f>SUM(D73,H81,L84)</f>
        <v>7630425</v>
      </c>
    </row>
    <row r="84" spans="8:23" x14ac:dyDescent="0.25">
      <c r="L84" s="95">
        <v>2707570</v>
      </c>
      <c r="M84" s="96">
        <f>W83</f>
        <v>7630425</v>
      </c>
      <c r="W84" s="93"/>
    </row>
    <row r="1000" spans="189:204" x14ac:dyDescent="0.25">
      <c r="GH1000" s="99" t="s">
        <v>137</v>
      </c>
      <c r="GI1000" s="99" t="s">
        <v>138</v>
      </c>
      <c r="GJ1000" s="99" t="s">
        <v>139</v>
      </c>
      <c r="GK1000" s="99" t="s">
        <v>140</v>
      </c>
      <c r="GL1000" s="99" t="s">
        <v>141</v>
      </c>
      <c r="GM1000" s="99" t="s">
        <v>142</v>
      </c>
      <c r="GN1000" s="99" t="s">
        <v>143</v>
      </c>
      <c r="GO1000" s="99" t="s">
        <v>144</v>
      </c>
      <c r="GP1000" s="99" t="s">
        <v>145</v>
      </c>
      <c r="GQ1000" s="99" t="s">
        <v>146</v>
      </c>
      <c r="GR1000" s="99" t="s">
        <v>147</v>
      </c>
      <c r="GS1000" s="99" t="s">
        <v>148</v>
      </c>
      <c r="GT1000" s="99" t="s">
        <v>149</v>
      </c>
      <c r="GU1000" s="99" t="s">
        <v>150</v>
      </c>
      <c r="GV1000" s="99" t="s">
        <v>151</v>
      </c>
    </row>
    <row r="1001" spans="189:204" x14ac:dyDescent="0.25">
      <c r="GG1001" s="91">
        <v>0</v>
      </c>
      <c r="GH1001" s="99">
        <v>0</v>
      </c>
      <c r="GI1001" s="99" t="s">
        <v>152</v>
      </c>
      <c r="GJ1001" s="99">
        <v>0</v>
      </c>
      <c r="GK1001" s="99">
        <v>0</v>
      </c>
      <c r="GL1001" s="99">
        <v>0</v>
      </c>
      <c r="GM1001" s="99" t="s">
        <v>153</v>
      </c>
      <c r="GN1001" s="99">
        <v>2</v>
      </c>
      <c r="GO1001" s="99">
        <v>17</v>
      </c>
      <c r="GP1001" s="99">
        <v>8</v>
      </c>
      <c r="GQ1001" s="99">
        <v>0</v>
      </c>
      <c r="GR1001" s="99">
        <v>0</v>
      </c>
      <c r="GS1001" s="99">
        <v>0</v>
      </c>
      <c r="GT1001" s="100">
        <v>48</v>
      </c>
      <c r="GU1001" s="100">
        <v>1</v>
      </c>
      <c r="GV1001" s="100" t="b">
        <v>1</v>
      </c>
    </row>
    <row r="1002" spans="189:204" x14ac:dyDescent="0.25">
      <c r="GG1002" s="91">
        <v>25</v>
      </c>
      <c r="GH1002" s="99">
        <v>1</v>
      </c>
      <c r="GL1002" s="99">
        <v>7</v>
      </c>
      <c r="GM1002" s="99" t="s">
        <v>154</v>
      </c>
      <c r="GN1002" s="99">
        <v>0</v>
      </c>
      <c r="GO1002" s="99">
        <v>0</v>
      </c>
      <c r="GP1002" s="99">
        <v>0</v>
      </c>
      <c r="GQ1002" s="99">
        <v>0</v>
      </c>
      <c r="GR1002" s="99">
        <v>0</v>
      </c>
      <c r="GS1002" s="99">
        <v>0</v>
      </c>
      <c r="GT1002" s="100">
        <v>7</v>
      </c>
      <c r="GU1002" s="100">
        <v>21</v>
      </c>
      <c r="GV1002" s="100" t="b">
        <v>1</v>
      </c>
    </row>
    <row r="1003" spans="189:204" x14ac:dyDescent="0.25">
      <c r="GG1003" s="91">
        <v>26</v>
      </c>
      <c r="GH1003" s="99">
        <v>2</v>
      </c>
      <c r="GL1003" s="99">
        <v>7</v>
      </c>
      <c r="GM1003" s="99" t="s">
        <v>154</v>
      </c>
      <c r="GN1003" s="99">
        <v>0</v>
      </c>
      <c r="GO1003" s="99">
        <v>0</v>
      </c>
      <c r="GP1003" s="99">
        <v>0</v>
      </c>
      <c r="GQ1003" s="99">
        <v>0</v>
      </c>
      <c r="GR1003" s="99">
        <v>0</v>
      </c>
      <c r="GS1003" s="99">
        <v>0</v>
      </c>
      <c r="GT1003" s="100">
        <v>2</v>
      </c>
      <c r="GU1003" s="100">
        <v>21</v>
      </c>
      <c r="GV1003" s="100" t="b">
        <v>1</v>
      </c>
    </row>
    <row r="1004" spans="189:204" x14ac:dyDescent="0.25">
      <c r="GG1004" s="91">
        <v>27</v>
      </c>
      <c r="GH1004" s="91">
        <v>3</v>
      </c>
      <c r="GL1004" s="91">
        <v>22</v>
      </c>
      <c r="GM1004" s="91" t="s">
        <v>154</v>
      </c>
      <c r="GN1004" s="91">
        <v>0</v>
      </c>
      <c r="GO1004" s="91">
        <v>0</v>
      </c>
      <c r="GP1004" s="91">
        <v>0</v>
      </c>
      <c r="GQ1004" s="91">
        <v>0</v>
      </c>
      <c r="GR1004" s="91">
        <v>0</v>
      </c>
      <c r="GS1004" s="91">
        <v>0</v>
      </c>
      <c r="GT1004" s="91">
        <v>17</v>
      </c>
      <c r="GU1004" s="91">
        <v>17</v>
      </c>
      <c r="GV1004" s="91" t="b">
        <v>1</v>
      </c>
    </row>
    <row r="1005" spans="189:204" x14ac:dyDescent="0.25">
      <c r="GG1005" s="91">
        <v>28</v>
      </c>
      <c r="GH1005" s="91">
        <v>4</v>
      </c>
      <c r="GL1005" s="91">
        <v>19</v>
      </c>
      <c r="GM1005" s="91" t="s">
        <v>154</v>
      </c>
      <c r="GN1005" s="91">
        <v>0</v>
      </c>
      <c r="GO1005" s="91">
        <v>0</v>
      </c>
      <c r="GP1005" s="91">
        <v>0</v>
      </c>
      <c r="GQ1005" s="91">
        <v>0</v>
      </c>
      <c r="GR1005" s="91">
        <v>0</v>
      </c>
      <c r="GS1005" s="91">
        <v>0</v>
      </c>
      <c r="GT1005" s="91">
        <v>12</v>
      </c>
      <c r="GU1005" s="91">
        <v>17</v>
      </c>
      <c r="GV1005" s="91" t="b">
        <v>1</v>
      </c>
    </row>
    <row r="1006" spans="189:204" x14ac:dyDescent="0.25">
      <c r="GG1006" s="91">
        <v>0</v>
      </c>
      <c r="GH1006" s="91">
        <v>5</v>
      </c>
      <c r="GL1006" s="91">
        <v>15</v>
      </c>
      <c r="GM1006" s="91" t="s">
        <v>154</v>
      </c>
      <c r="GN1006" s="91">
        <v>0</v>
      </c>
      <c r="GO1006" s="91">
        <v>0</v>
      </c>
      <c r="GP1006" s="91">
        <v>0</v>
      </c>
      <c r="GQ1006" s="91">
        <v>0</v>
      </c>
      <c r="GR1006" s="91">
        <v>0</v>
      </c>
      <c r="GS1006" s="91">
        <v>0</v>
      </c>
      <c r="GT1006" s="91">
        <v>82</v>
      </c>
      <c r="GU1006" s="91">
        <v>13</v>
      </c>
      <c r="GV1006" s="91" t="b">
        <v>1</v>
      </c>
    </row>
    <row r="1007" spans="189:204" x14ac:dyDescent="0.25">
      <c r="GG1007" s="91">
        <v>0</v>
      </c>
      <c r="GH1007" s="91">
        <v>6</v>
      </c>
      <c r="GL1007" s="91">
        <v>15</v>
      </c>
      <c r="GM1007" s="91" t="s">
        <v>154</v>
      </c>
      <c r="GN1007" s="91">
        <v>0</v>
      </c>
      <c r="GO1007" s="91">
        <v>0</v>
      </c>
      <c r="GP1007" s="91">
        <v>0</v>
      </c>
      <c r="GQ1007" s="91">
        <v>0</v>
      </c>
      <c r="GR1007" s="91">
        <v>0</v>
      </c>
      <c r="GS1007" s="91">
        <v>0</v>
      </c>
      <c r="GT1007" s="91">
        <v>77</v>
      </c>
      <c r="GU1007" s="91">
        <v>13</v>
      </c>
      <c r="GV1007" s="91" t="b">
        <v>1</v>
      </c>
    </row>
    <row r="1008" spans="189:204" x14ac:dyDescent="0.25">
      <c r="GG1008" s="91">
        <v>29</v>
      </c>
      <c r="GH1008" s="91">
        <v>7</v>
      </c>
      <c r="GL1008" s="91">
        <v>19</v>
      </c>
      <c r="GM1008" s="91" t="s">
        <v>155</v>
      </c>
      <c r="GN1008" s="91">
        <v>2</v>
      </c>
      <c r="GO1008" s="91">
        <v>2</v>
      </c>
      <c r="GP1008" s="91">
        <v>1</v>
      </c>
      <c r="GQ1008" s="91">
        <v>0</v>
      </c>
      <c r="GR1008" s="91">
        <v>0</v>
      </c>
      <c r="GS1008" s="91">
        <v>0</v>
      </c>
      <c r="GT1008" s="91">
        <v>4</v>
      </c>
      <c r="GU1008" s="91">
        <v>17</v>
      </c>
      <c r="GV1008" s="91" t="b">
        <v>1</v>
      </c>
    </row>
    <row r="1009" spans="189:204" x14ac:dyDescent="0.25">
      <c r="GG1009" s="91">
        <v>0</v>
      </c>
      <c r="GH1009" s="91">
        <v>8</v>
      </c>
      <c r="GK1009" s="91">
        <v>0</v>
      </c>
      <c r="GL1009" s="91">
        <v>0</v>
      </c>
      <c r="GM1009" s="91" t="s">
        <v>155</v>
      </c>
      <c r="GN1009" s="91">
        <v>2</v>
      </c>
      <c r="GO1009" s="91">
        <v>16</v>
      </c>
      <c r="GP1009" s="91">
        <v>15</v>
      </c>
      <c r="GQ1009" s="91">
        <v>0</v>
      </c>
      <c r="GR1009" s="91">
        <v>0</v>
      </c>
      <c r="GS1009" s="91">
        <v>0</v>
      </c>
      <c r="GT1009" s="91">
        <v>71</v>
      </c>
      <c r="GU1009" s="91">
        <v>5</v>
      </c>
      <c r="GV1009" s="91" t="b">
        <v>1</v>
      </c>
    </row>
    <row r="1010" spans="189:204" x14ac:dyDescent="0.25">
      <c r="GG1010" s="91">
        <v>0</v>
      </c>
      <c r="GH1010" s="91">
        <v>9</v>
      </c>
      <c r="GL1010" s="91">
        <v>13</v>
      </c>
      <c r="GM1010" s="91" t="s">
        <v>154</v>
      </c>
      <c r="GN1010" s="91">
        <v>0</v>
      </c>
      <c r="GO1010" s="91">
        <v>0</v>
      </c>
      <c r="GP1010" s="91">
        <v>0</v>
      </c>
      <c r="GQ1010" s="91">
        <v>0</v>
      </c>
      <c r="GR1010" s="91">
        <v>0</v>
      </c>
      <c r="GS1010" s="91">
        <v>0</v>
      </c>
      <c r="GT1010" s="91">
        <v>72</v>
      </c>
      <c r="GU1010" s="91">
        <v>17</v>
      </c>
      <c r="GV1010" s="91" t="b">
        <v>1</v>
      </c>
    </row>
    <row r="1011" spans="189:204" x14ac:dyDescent="0.25">
      <c r="GG1011" s="91">
        <v>0</v>
      </c>
      <c r="GH1011" s="91">
        <v>10</v>
      </c>
      <c r="GL1011" s="91">
        <v>13</v>
      </c>
      <c r="GM1011" s="91" t="s">
        <v>154</v>
      </c>
      <c r="GN1011" s="91">
        <v>0</v>
      </c>
      <c r="GO1011" s="91">
        <v>0</v>
      </c>
      <c r="GP1011" s="91">
        <v>0</v>
      </c>
      <c r="GQ1011" s="91">
        <v>0</v>
      </c>
      <c r="GR1011" s="91">
        <v>0</v>
      </c>
      <c r="GS1011" s="91">
        <v>0</v>
      </c>
      <c r="GT1011" s="91">
        <v>67</v>
      </c>
      <c r="GU1011" s="91">
        <v>17</v>
      </c>
      <c r="GV1011" s="91" t="b">
        <v>1</v>
      </c>
    </row>
    <row r="1012" spans="189:204" x14ac:dyDescent="0.25">
      <c r="GG1012" s="91">
        <v>0</v>
      </c>
      <c r="GH1012" s="91">
        <v>11</v>
      </c>
      <c r="GL1012" s="91">
        <v>14</v>
      </c>
      <c r="GM1012" s="91" t="s">
        <v>154</v>
      </c>
      <c r="GN1012" s="91">
        <v>0</v>
      </c>
      <c r="GO1012" s="91">
        <v>0</v>
      </c>
      <c r="GP1012" s="91">
        <v>0</v>
      </c>
      <c r="GQ1012" s="91">
        <v>0</v>
      </c>
      <c r="GR1012" s="91">
        <v>0</v>
      </c>
      <c r="GS1012" s="91">
        <v>0</v>
      </c>
      <c r="GT1012" s="91">
        <v>62</v>
      </c>
      <c r="GU1012" s="91">
        <v>17</v>
      </c>
      <c r="GV1012" s="91" t="b">
        <v>1</v>
      </c>
    </row>
    <row r="1013" spans="189:204" x14ac:dyDescent="0.25">
      <c r="GG1013" s="91">
        <v>0</v>
      </c>
      <c r="GH1013" s="91">
        <v>12</v>
      </c>
      <c r="GL1013" s="91">
        <v>14</v>
      </c>
      <c r="GM1013" s="91" t="s">
        <v>155</v>
      </c>
      <c r="GN1013" s="91">
        <v>2</v>
      </c>
      <c r="GO1013" s="91">
        <v>23</v>
      </c>
      <c r="GP1013" s="91">
        <v>20</v>
      </c>
      <c r="GQ1013" s="91">
        <v>0</v>
      </c>
      <c r="GR1013" s="91">
        <v>0</v>
      </c>
      <c r="GS1013" s="91">
        <v>0</v>
      </c>
      <c r="GT1013" s="91">
        <v>54</v>
      </c>
      <c r="GU1013" s="91">
        <v>17</v>
      </c>
      <c r="GV1013" s="91" t="b">
        <v>1</v>
      </c>
    </row>
    <row r="1014" spans="189:204" x14ac:dyDescent="0.25">
      <c r="GG1014" s="91">
        <v>0</v>
      </c>
      <c r="GH1014" s="91">
        <v>13</v>
      </c>
      <c r="GK1014" s="91">
        <v>0</v>
      </c>
      <c r="GL1014" s="91">
        <v>16</v>
      </c>
      <c r="GM1014" s="91" t="s">
        <v>155</v>
      </c>
      <c r="GN1014" s="91">
        <v>2</v>
      </c>
      <c r="GO1014" s="91">
        <v>10</v>
      </c>
      <c r="GP1014" s="91">
        <v>9</v>
      </c>
      <c r="GQ1014" s="91">
        <v>0</v>
      </c>
      <c r="GR1014" s="91">
        <v>0</v>
      </c>
      <c r="GS1014" s="91">
        <v>0</v>
      </c>
      <c r="GT1014" s="91">
        <v>69</v>
      </c>
      <c r="GU1014" s="91">
        <v>13</v>
      </c>
      <c r="GV1014" s="91" t="b">
        <v>1</v>
      </c>
    </row>
    <row r="1015" spans="189:204" x14ac:dyDescent="0.25">
      <c r="GG1015" s="91">
        <v>0</v>
      </c>
      <c r="GH1015" s="91">
        <v>14</v>
      </c>
      <c r="GK1015" s="91">
        <v>0</v>
      </c>
      <c r="GL1015" s="91">
        <v>16</v>
      </c>
      <c r="GM1015" s="91" t="s">
        <v>155</v>
      </c>
      <c r="GN1015" s="91">
        <v>2</v>
      </c>
      <c r="GO1015" s="91">
        <v>12</v>
      </c>
      <c r="GP1015" s="91">
        <v>11</v>
      </c>
      <c r="GQ1015" s="91">
        <v>0</v>
      </c>
      <c r="GR1015" s="91">
        <v>0</v>
      </c>
      <c r="GS1015" s="91">
        <v>0</v>
      </c>
      <c r="GT1015" s="91">
        <v>58</v>
      </c>
      <c r="GU1015" s="91">
        <v>13</v>
      </c>
      <c r="GV1015" s="91" t="b">
        <v>1</v>
      </c>
    </row>
    <row r="1016" spans="189:204" x14ac:dyDescent="0.25">
      <c r="GG1016" s="91">
        <v>0</v>
      </c>
      <c r="GH1016" s="91">
        <v>15</v>
      </c>
      <c r="GL1016" s="91">
        <v>8</v>
      </c>
      <c r="GM1016" s="91" t="s">
        <v>155</v>
      </c>
      <c r="GN1016" s="91">
        <v>2</v>
      </c>
      <c r="GO1016" s="91">
        <v>6</v>
      </c>
      <c r="GP1016" s="91">
        <v>5</v>
      </c>
      <c r="GQ1016" s="91">
        <v>0</v>
      </c>
      <c r="GR1016" s="91">
        <v>0</v>
      </c>
      <c r="GS1016" s="91">
        <v>0</v>
      </c>
      <c r="GT1016" s="91">
        <v>79</v>
      </c>
      <c r="GU1016" s="91">
        <v>9</v>
      </c>
      <c r="GV1016" s="91" t="b">
        <v>1</v>
      </c>
    </row>
    <row r="1017" spans="189:204" x14ac:dyDescent="0.25">
      <c r="GG1017" s="91">
        <v>0</v>
      </c>
      <c r="GH1017" s="91">
        <v>16</v>
      </c>
      <c r="GL1017" s="91">
        <v>8</v>
      </c>
      <c r="GM1017" s="91" t="s">
        <v>153</v>
      </c>
      <c r="GN1017" s="91">
        <v>2</v>
      </c>
      <c r="GO1017" s="91">
        <v>14</v>
      </c>
      <c r="GP1017" s="91">
        <v>13</v>
      </c>
      <c r="GQ1017" s="91">
        <v>0</v>
      </c>
      <c r="GR1017" s="91">
        <v>0</v>
      </c>
      <c r="GS1017" s="91">
        <v>0</v>
      </c>
      <c r="GT1017" s="91">
        <v>63</v>
      </c>
      <c r="GU1017" s="91">
        <v>9</v>
      </c>
      <c r="GV1017" s="91" t="b">
        <v>1</v>
      </c>
    </row>
    <row r="1018" spans="189:204" x14ac:dyDescent="0.25">
      <c r="GG1018" s="91">
        <v>0</v>
      </c>
      <c r="GH1018" s="91">
        <v>17</v>
      </c>
      <c r="GK1018" s="91">
        <v>0</v>
      </c>
      <c r="GL1018" s="91">
        <v>0</v>
      </c>
      <c r="GM1018" s="91" t="s">
        <v>155</v>
      </c>
      <c r="GN1018" s="91">
        <v>2</v>
      </c>
      <c r="GO1018" s="91">
        <v>21</v>
      </c>
      <c r="GP1018" s="91">
        <v>24</v>
      </c>
      <c r="GQ1018" s="91">
        <v>0</v>
      </c>
      <c r="GR1018" s="91">
        <v>0</v>
      </c>
      <c r="GS1018" s="91">
        <v>0</v>
      </c>
      <c r="GT1018" s="91">
        <v>25</v>
      </c>
      <c r="GU1018" s="91">
        <v>5</v>
      </c>
      <c r="GV1018" s="91" t="b">
        <v>1</v>
      </c>
    </row>
    <row r="1019" spans="189:204" x14ac:dyDescent="0.25">
      <c r="GG1019" s="91">
        <v>30</v>
      </c>
      <c r="GH1019" s="91">
        <v>18</v>
      </c>
      <c r="GL1019" s="91">
        <v>22</v>
      </c>
      <c r="GM1019" s="91" t="s">
        <v>154</v>
      </c>
      <c r="GN1019" s="91">
        <v>0</v>
      </c>
      <c r="GO1019" s="91">
        <v>0</v>
      </c>
      <c r="GP1019" s="91">
        <v>0</v>
      </c>
      <c r="GQ1019" s="91">
        <v>0</v>
      </c>
      <c r="GR1019" s="91">
        <v>0</v>
      </c>
      <c r="GS1019" s="91">
        <v>0</v>
      </c>
      <c r="GT1019" s="91">
        <v>22</v>
      </c>
      <c r="GU1019" s="91">
        <v>17</v>
      </c>
      <c r="GV1019" s="91" t="b">
        <v>1</v>
      </c>
    </row>
    <row r="1020" spans="189:204" x14ac:dyDescent="0.25">
      <c r="GG1020" s="91">
        <v>31</v>
      </c>
      <c r="GH1020" s="91">
        <v>19</v>
      </c>
      <c r="GK1020" s="91">
        <v>0</v>
      </c>
      <c r="GL1020" s="91">
        <v>21</v>
      </c>
      <c r="GM1020" s="91" t="s">
        <v>155</v>
      </c>
      <c r="GN1020" s="91">
        <v>2</v>
      </c>
      <c r="GO1020" s="91">
        <v>7</v>
      </c>
      <c r="GP1020" s="91">
        <v>4</v>
      </c>
      <c r="GQ1020" s="91">
        <v>0</v>
      </c>
      <c r="GR1020" s="91">
        <v>0</v>
      </c>
      <c r="GS1020" s="91">
        <v>0</v>
      </c>
      <c r="GT1020" s="91">
        <v>8</v>
      </c>
      <c r="GU1020" s="91">
        <v>13</v>
      </c>
      <c r="GV1020" s="91" t="b">
        <v>1</v>
      </c>
    </row>
    <row r="1021" spans="189:204" x14ac:dyDescent="0.25">
      <c r="GG1021" s="91">
        <v>0</v>
      </c>
      <c r="GH1021" s="91">
        <v>20</v>
      </c>
      <c r="GL1021" s="91">
        <v>12</v>
      </c>
      <c r="GM1021" s="91" t="s">
        <v>154</v>
      </c>
      <c r="GN1021" s="91">
        <v>0</v>
      </c>
      <c r="GO1021" s="91">
        <v>0</v>
      </c>
      <c r="GP1021" s="91">
        <v>0</v>
      </c>
      <c r="GQ1021" s="91">
        <v>0</v>
      </c>
      <c r="GR1021" s="91">
        <v>0</v>
      </c>
      <c r="GS1021" s="91">
        <v>0</v>
      </c>
      <c r="GT1021" s="91">
        <v>57</v>
      </c>
      <c r="GU1021" s="91">
        <v>21</v>
      </c>
      <c r="GV1021" s="91" t="b">
        <v>1</v>
      </c>
    </row>
    <row r="1022" spans="189:204" x14ac:dyDescent="0.25">
      <c r="GG1022" s="91">
        <v>24</v>
      </c>
      <c r="GH1022" s="91">
        <v>21</v>
      </c>
      <c r="GL1022" s="91">
        <v>17</v>
      </c>
      <c r="GM1022" s="91" t="s">
        <v>153</v>
      </c>
      <c r="GN1022" s="91">
        <v>2</v>
      </c>
      <c r="GO1022" s="91">
        <v>19</v>
      </c>
      <c r="GP1022" s="91">
        <v>22</v>
      </c>
      <c r="GQ1022" s="91">
        <v>0</v>
      </c>
      <c r="GR1022" s="91">
        <v>0</v>
      </c>
      <c r="GS1022" s="91">
        <v>0</v>
      </c>
      <c r="GT1022" s="91">
        <v>13</v>
      </c>
      <c r="GU1022" s="91">
        <v>9</v>
      </c>
      <c r="GV1022" s="91" t="b">
        <v>1</v>
      </c>
    </row>
    <row r="1023" spans="189:204" x14ac:dyDescent="0.25">
      <c r="GG1023" s="91">
        <v>32</v>
      </c>
      <c r="GH1023" s="91">
        <v>22</v>
      </c>
      <c r="GK1023" s="91">
        <v>0</v>
      </c>
      <c r="GL1023" s="91">
        <v>21</v>
      </c>
      <c r="GM1023" s="91" t="s">
        <v>155</v>
      </c>
      <c r="GN1023" s="91">
        <v>2</v>
      </c>
      <c r="GO1023" s="91">
        <v>3</v>
      </c>
      <c r="GP1023" s="91">
        <v>18</v>
      </c>
      <c r="GQ1023" s="91">
        <v>0</v>
      </c>
      <c r="GR1023" s="91">
        <v>0</v>
      </c>
      <c r="GS1023" s="91">
        <v>0</v>
      </c>
      <c r="GT1023" s="91">
        <v>19</v>
      </c>
      <c r="GU1023" s="91">
        <v>13</v>
      </c>
      <c r="GV1023" s="91" t="b">
        <v>1</v>
      </c>
    </row>
    <row r="1024" spans="189:204" x14ac:dyDescent="0.25">
      <c r="GG1024" s="91">
        <v>0</v>
      </c>
      <c r="GH1024" s="91">
        <v>23</v>
      </c>
      <c r="GL1024" s="91">
        <v>12</v>
      </c>
      <c r="GM1024" s="91" t="s">
        <v>154</v>
      </c>
      <c r="GN1024" s="91">
        <v>0</v>
      </c>
      <c r="GO1024" s="91">
        <v>0</v>
      </c>
      <c r="GP1024" s="91">
        <v>0</v>
      </c>
      <c r="GQ1024" s="91">
        <v>0</v>
      </c>
      <c r="GR1024" s="91">
        <v>0</v>
      </c>
      <c r="GS1024" s="91">
        <v>0</v>
      </c>
      <c r="GT1024" s="91">
        <v>52</v>
      </c>
      <c r="GU1024" s="91">
        <v>21</v>
      </c>
      <c r="GV1024" s="91" t="b">
        <v>1</v>
      </c>
    </row>
    <row r="1025" spans="189:204" x14ac:dyDescent="0.25">
      <c r="GG1025" s="91">
        <v>0</v>
      </c>
      <c r="GH1025" s="91">
        <v>24</v>
      </c>
      <c r="GL1025" s="91">
        <v>17</v>
      </c>
      <c r="GM1025" s="91" t="s">
        <v>153</v>
      </c>
      <c r="GN1025" s="91">
        <v>2</v>
      </c>
      <c r="GO1025" s="91">
        <v>31</v>
      </c>
      <c r="GP1025" s="91">
        <v>32</v>
      </c>
      <c r="GQ1025" s="91">
        <v>0</v>
      </c>
      <c r="GR1025" s="91">
        <v>0</v>
      </c>
      <c r="GS1025" s="91">
        <v>0</v>
      </c>
      <c r="GT1025" s="91">
        <v>38</v>
      </c>
      <c r="GU1025" s="91">
        <v>9</v>
      </c>
      <c r="GV1025" s="91" t="b">
        <v>1</v>
      </c>
    </row>
    <row r="1026" spans="189:204" x14ac:dyDescent="0.25">
      <c r="GH1026" s="91">
        <v>25</v>
      </c>
      <c r="GL1026" s="91">
        <v>29</v>
      </c>
      <c r="GM1026" s="99" t="s">
        <v>154</v>
      </c>
      <c r="GN1026" s="99">
        <v>0</v>
      </c>
      <c r="GO1026" s="91">
        <v>0</v>
      </c>
      <c r="GP1026" s="91">
        <v>0</v>
      </c>
      <c r="GQ1026" s="91">
        <v>0</v>
      </c>
      <c r="GR1026" s="91">
        <v>0</v>
      </c>
      <c r="GS1026" s="91">
        <v>0</v>
      </c>
      <c r="GT1026" s="91">
        <v>32</v>
      </c>
      <c r="GU1026" s="91">
        <v>21</v>
      </c>
      <c r="GV1026" s="91" t="b">
        <v>1</v>
      </c>
    </row>
    <row r="1027" spans="189:204" x14ac:dyDescent="0.25">
      <c r="GH1027" s="91">
        <v>26</v>
      </c>
      <c r="GL1027" s="91">
        <v>29</v>
      </c>
      <c r="GM1027" s="99" t="s">
        <v>154</v>
      </c>
      <c r="GN1027" s="99">
        <v>0</v>
      </c>
      <c r="GO1027" s="91">
        <v>0</v>
      </c>
      <c r="GP1027" s="91">
        <v>0</v>
      </c>
      <c r="GQ1027" s="91">
        <v>0</v>
      </c>
      <c r="GR1027" s="91">
        <v>0</v>
      </c>
      <c r="GS1027" s="91">
        <v>0</v>
      </c>
      <c r="GT1027" s="91">
        <v>27</v>
      </c>
      <c r="GU1027" s="91">
        <v>21</v>
      </c>
      <c r="GV1027" s="91" t="b">
        <v>1</v>
      </c>
    </row>
    <row r="1028" spans="189:204" x14ac:dyDescent="0.25">
      <c r="GH1028" s="91">
        <v>27</v>
      </c>
      <c r="GL1028" s="91">
        <v>32</v>
      </c>
      <c r="GM1028" s="91" t="s">
        <v>154</v>
      </c>
      <c r="GN1028" s="91">
        <v>0</v>
      </c>
      <c r="GO1028" s="91">
        <v>0</v>
      </c>
      <c r="GP1028" s="91">
        <v>0</v>
      </c>
      <c r="GQ1028" s="91">
        <v>0</v>
      </c>
      <c r="GR1028" s="91">
        <v>0</v>
      </c>
      <c r="GS1028" s="91">
        <v>0</v>
      </c>
      <c r="GT1028" s="91">
        <v>42</v>
      </c>
      <c r="GU1028" s="91">
        <v>17</v>
      </c>
      <c r="GV1028" s="91" t="b">
        <v>1</v>
      </c>
    </row>
    <row r="1029" spans="189:204" x14ac:dyDescent="0.25">
      <c r="GH1029" s="91">
        <v>28</v>
      </c>
      <c r="GL1029" s="91">
        <v>31</v>
      </c>
      <c r="GM1029" s="91" t="s">
        <v>154</v>
      </c>
      <c r="GN1029" s="91">
        <v>0</v>
      </c>
      <c r="GO1029" s="91">
        <v>0</v>
      </c>
      <c r="GP1029" s="91">
        <v>0</v>
      </c>
      <c r="GQ1029" s="91">
        <v>0</v>
      </c>
      <c r="GR1029" s="91">
        <v>0</v>
      </c>
      <c r="GS1029" s="91">
        <v>0</v>
      </c>
      <c r="GT1029" s="91">
        <v>37</v>
      </c>
      <c r="GU1029" s="91">
        <v>17</v>
      </c>
      <c r="GV1029" s="91" t="b">
        <v>1</v>
      </c>
    </row>
    <row r="1030" spans="189:204" x14ac:dyDescent="0.25">
      <c r="GH1030" s="91">
        <v>29</v>
      </c>
      <c r="GL1030" s="91">
        <v>31</v>
      </c>
      <c r="GM1030" s="91" t="s">
        <v>155</v>
      </c>
      <c r="GN1030" s="91">
        <v>2</v>
      </c>
      <c r="GO1030" s="91">
        <v>26</v>
      </c>
      <c r="GP1030" s="91">
        <v>25</v>
      </c>
      <c r="GQ1030" s="91">
        <v>0</v>
      </c>
      <c r="GR1030" s="91">
        <v>0</v>
      </c>
      <c r="GS1030" s="91">
        <v>0</v>
      </c>
      <c r="GT1030" s="91">
        <v>29</v>
      </c>
      <c r="GU1030" s="91">
        <v>17</v>
      </c>
      <c r="GV1030" s="91" t="b">
        <v>1</v>
      </c>
    </row>
    <row r="1031" spans="189:204" x14ac:dyDescent="0.25">
      <c r="GH1031" s="91">
        <v>30</v>
      </c>
      <c r="GL1031" s="91">
        <v>32</v>
      </c>
      <c r="GM1031" s="91" t="s">
        <v>154</v>
      </c>
      <c r="GN1031" s="91">
        <v>0</v>
      </c>
      <c r="GO1031" s="91">
        <v>0</v>
      </c>
      <c r="GP1031" s="91">
        <v>0</v>
      </c>
      <c r="GQ1031" s="91">
        <v>0</v>
      </c>
      <c r="GR1031" s="91">
        <v>0</v>
      </c>
      <c r="GS1031" s="91">
        <v>0</v>
      </c>
      <c r="GT1031" s="91">
        <v>47</v>
      </c>
      <c r="GU1031" s="91">
        <v>17</v>
      </c>
      <c r="GV1031" s="91" t="b">
        <v>1</v>
      </c>
    </row>
    <row r="1032" spans="189:204" x14ac:dyDescent="0.25">
      <c r="GH1032" s="91">
        <v>31</v>
      </c>
      <c r="GK1032" s="91">
        <v>0</v>
      </c>
      <c r="GL1032" s="91">
        <v>24</v>
      </c>
      <c r="GM1032" s="91" t="s">
        <v>155</v>
      </c>
      <c r="GN1032" s="91">
        <v>2</v>
      </c>
      <c r="GO1032" s="91">
        <v>29</v>
      </c>
      <c r="GP1032" s="91">
        <v>28</v>
      </c>
      <c r="GQ1032" s="91">
        <v>0</v>
      </c>
      <c r="GR1032" s="91">
        <v>0</v>
      </c>
      <c r="GS1032" s="91">
        <v>0</v>
      </c>
      <c r="GT1032" s="91">
        <v>33</v>
      </c>
      <c r="GU1032" s="91">
        <v>13</v>
      </c>
      <c r="GV1032" s="91" t="b">
        <v>1</v>
      </c>
    </row>
    <row r="1033" spans="189:204" x14ac:dyDescent="0.25">
      <c r="GH1033" s="91">
        <v>32</v>
      </c>
      <c r="GK1033" s="91">
        <v>0</v>
      </c>
      <c r="GL1033" s="91">
        <v>24</v>
      </c>
      <c r="GM1033" s="91" t="s">
        <v>155</v>
      </c>
      <c r="GN1033" s="91">
        <v>2</v>
      </c>
      <c r="GO1033" s="91">
        <v>27</v>
      </c>
      <c r="GP1033" s="91">
        <v>30</v>
      </c>
      <c r="GQ1033" s="91">
        <v>0</v>
      </c>
      <c r="GR1033" s="91">
        <v>0</v>
      </c>
      <c r="GS1033" s="91">
        <v>0</v>
      </c>
      <c r="GT1033" s="91">
        <v>44</v>
      </c>
      <c r="GU1033" s="91">
        <v>13</v>
      </c>
      <c r="GV1033" s="91" t="b">
        <v>1</v>
      </c>
    </row>
  </sheetData>
  <sheetProtection scenarios="1"/>
  <pageMargins left="0.7" right="0.7" top="0.75" bottom="0.75" header="0.3" footer="0.3"/>
  <pageSetup orientation="portrait" r:id="rId1"/>
  <headerFooter>
    <oddHeader>&amp;L&amp;EFor Evaluation Only</oddHeader>
    <oddFooter>&amp;L&amp;ETreePlan Trial, For Evaluation Only&amp;Z&amp;Ewww.TreePlan.com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96"/>
  <sheetViews>
    <sheetView showGridLines="0" topLeftCell="A50" workbookViewId="0">
      <selection activeCell="J58" sqref="J58"/>
    </sheetView>
  </sheetViews>
  <sheetFormatPr baseColWidth="10" defaultRowHeight="15" x14ac:dyDescent="0.25"/>
  <cols>
    <col min="1" max="1" width="10.375" customWidth="1"/>
    <col min="2" max="2" width="15.25" customWidth="1"/>
    <col min="3" max="3" width="12.75" style="1" customWidth="1"/>
    <col min="4" max="4" width="10.25" style="1" customWidth="1"/>
    <col min="5" max="5" width="11.625" style="1" customWidth="1"/>
    <col min="6" max="6" width="12.875" style="1" customWidth="1"/>
    <col min="7" max="7" width="12.25" style="1" customWidth="1"/>
    <col min="8" max="8" width="8.375" style="1" customWidth="1"/>
    <col min="9" max="9" width="14.125" style="1" bestFit="1" customWidth="1"/>
    <col min="10" max="10" width="11" style="1"/>
    <col min="11" max="11" width="7.125" style="1" customWidth="1"/>
    <col min="12" max="12" width="9.75" style="1" bestFit="1" customWidth="1"/>
    <col min="13" max="13" width="12.625" style="1" bestFit="1" customWidth="1"/>
    <col min="14" max="15" width="14.125" style="1" bestFit="1" customWidth="1"/>
    <col min="16" max="17" width="12.625" style="1" bestFit="1" customWidth="1"/>
    <col min="18" max="16384" width="11" style="1"/>
  </cols>
  <sheetData>
    <row r="1" spans="1:41" customFormat="1" ht="15.75" customHeight="1" x14ac:dyDescent="0.25">
      <c r="B1" s="414" t="s">
        <v>0</v>
      </c>
      <c r="C1" s="414"/>
      <c r="D1" s="1" t="s">
        <v>93</v>
      </c>
      <c r="E1" s="414" t="s">
        <v>84</v>
      </c>
      <c r="F1" s="414"/>
      <c r="G1" s="1"/>
      <c r="H1" s="414" t="s">
        <v>84</v>
      </c>
      <c r="I1" s="414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 customFormat="1" ht="15.75" customHeight="1" x14ac:dyDescent="0.25">
      <c r="B2" s="1" t="s">
        <v>1</v>
      </c>
      <c r="C2" s="1">
        <v>180000</v>
      </c>
      <c r="D2" s="1">
        <f>+C2/12</f>
        <v>15000</v>
      </c>
      <c r="E2" s="32">
        <f>+C2/C4</f>
        <v>0.83333333333333337</v>
      </c>
      <c r="F2" s="1">
        <f>+F4*E2</f>
        <v>180000</v>
      </c>
      <c r="G2" s="1"/>
      <c r="H2" s="410" t="s">
        <v>1</v>
      </c>
      <c r="I2" s="11" t="s">
        <v>1</v>
      </c>
      <c r="J2" s="411">
        <f>100%-J4</f>
        <v>0.12</v>
      </c>
      <c r="K2" s="412">
        <f>+C2*J2</f>
        <v>21600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 customFormat="1" ht="15.75" customHeight="1" x14ac:dyDescent="0.25">
      <c r="B3" s="1" t="s">
        <v>2</v>
      </c>
      <c r="C3" s="1">
        <f>0.2*C2</f>
        <v>36000</v>
      </c>
      <c r="D3" s="1">
        <f>+C3/12</f>
        <v>3000</v>
      </c>
      <c r="E3" s="32">
        <f>+C3/C4</f>
        <v>0.16666666666666666</v>
      </c>
      <c r="F3" s="1">
        <f>+F4*E3</f>
        <v>36000</v>
      </c>
      <c r="G3" s="1"/>
      <c r="H3" s="410"/>
      <c r="I3" s="11" t="s">
        <v>85</v>
      </c>
      <c r="J3" s="411"/>
      <c r="K3" s="41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</row>
    <row r="4" spans="1:41" customFormat="1" ht="15.75" customHeight="1" x14ac:dyDescent="0.25">
      <c r="B4" s="1" t="s">
        <v>3</v>
      </c>
      <c r="C4" s="1">
        <f>+SUM(C2:C3)</f>
        <v>216000</v>
      </c>
      <c r="D4" s="1">
        <f>+C4/12</f>
        <v>18000</v>
      </c>
      <c r="E4" s="1" t="s">
        <v>3</v>
      </c>
      <c r="F4" s="1">
        <f>+C4</f>
        <v>216000</v>
      </c>
      <c r="G4" s="1"/>
      <c r="H4" s="410"/>
      <c r="I4" s="11" t="s">
        <v>86</v>
      </c>
      <c r="J4" s="33">
        <v>0.88</v>
      </c>
      <c r="K4" s="49">
        <f>+J4*C2</f>
        <v>158400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</row>
    <row r="5" spans="1:41" customFormat="1" ht="15.75" customHeight="1" x14ac:dyDescent="0.25">
      <c r="B5" s="1"/>
      <c r="C5" s="1"/>
      <c r="D5" s="1"/>
      <c r="E5" s="1"/>
      <c r="F5" s="1"/>
      <c r="G5" s="1"/>
      <c r="H5" s="50"/>
      <c r="I5" s="51"/>
      <c r="J5" s="52"/>
      <c r="K5" s="5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</row>
    <row r="6" spans="1:41" customFormat="1" ht="15.75" customHeight="1" x14ac:dyDescent="0.25">
      <c r="A6" s="1" t="s">
        <v>92</v>
      </c>
      <c r="B6">
        <v>2.2999999999999998</v>
      </c>
      <c r="C6" s="1">
        <f>+D2*B6</f>
        <v>34500</v>
      </c>
      <c r="D6" s="1">
        <f>+C6-8500</f>
        <v>26000</v>
      </c>
      <c r="E6" s="1">
        <f>+D6/D2</f>
        <v>1.7333333333333334</v>
      </c>
      <c r="F6" s="1"/>
      <c r="G6" s="1"/>
      <c r="H6" s="410" t="s">
        <v>2</v>
      </c>
      <c r="I6" s="11" t="s">
        <v>87</v>
      </c>
      <c r="J6" s="411">
        <v>0.99</v>
      </c>
      <c r="K6" s="412">
        <f>+J6*C3</f>
        <v>35640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</row>
    <row r="7" spans="1:41" customFormat="1" ht="15.75" customHeight="1" x14ac:dyDescent="0.25">
      <c r="B7" s="1"/>
      <c r="C7" s="1"/>
      <c r="D7" s="1"/>
      <c r="E7" s="1"/>
      <c r="F7" s="1"/>
      <c r="G7" s="1"/>
      <c r="H7" s="410"/>
      <c r="I7" s="11" t="s">
        <v>88</v>
      </c>
      <c r="J7" s="411"/>
      <c r="K7" s="412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</row>
    <row r="8" spans="1:41" customFormat="1" ht="15.75" customHeight="1" x14ac:dyDescent="0.25">
      <c r="B8" s="1"/>
      <c r="C8" s="1"/>
      <c r="D8" s="1"/>
      <c r="E8" s="1"/>
      <c r="F8" s="1"/>
      <c r="G8" s="1"/>
      <c r="H8" s="410"/>
      <c r="I8" s="11" t="s">
        <v>89</v>
      </c>
      <c r="J8" s="411"/>
      <c r="K8" s="412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</row>
    <row r="9" spans="1:41" customFormat="1" x14ac:dyDescent="0.25">
      <c r="B9" s="1"/>
      <c r="C9" s="1"/>
      <c r="D9" s="1"/>
      <c r="E9" s="1"/>
      <c r="F9" s="1"/>
      <c r="G9" s="1"/>
      <c r="H9" s="410"/>
      <c r="I9" s="11" t="s">
        <v>90</v>
      </c>
      <c r="J9" s="411"/>
      <c r="K9" s="412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</row>
    <row r="10" spans="1:41" customFormat="1" x14ac:dyDescent="0.25">
      <c r="B10" s="1" t="s">
        <v>4</v>
      </c>
      <c r="C10" s="1" t="s">
        <v>21</v>
      </c>
      <c r="D10" s="1"/>
      <c r="E10" s="1"/>
      <c r="F10" s="1"/>
      <c r="G10" s="1"/>
      <c r="H10" s="410"/>
      <c r="I10" s="11" t="s">
        <v>91</v>
      </c>
      <c r="J10" s="33">
        <v>0.01</v>
      </c>
      <c r="K10" s="49">
        <f>+J10*C3</f>
        <v>360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</row>
    <row r="11" spans="1:41" customFormat="1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</row>
    <row r="12" spans="1:41" customFormat="1" x14ac:dyDescent="0.25">
      <c r="B12" s="1"/>
      <c r="C12" s="1"/>
      <c r="D12" s="1"/>
      <c r="E12" s="1"/>
      <c r="F12" s="1"/>
      <c r="G12" s="1"/>
      <c r="H12" s="413" t="s">
        <v>77</v>
      </c>
      <c r="I12" s="413"/>
      <c r="J12" s="413"/>
      <c r="K12" s="11">
        <f>+SUM(K2:K10)</f>
        <v>216000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</row>
    <row r="13" spans="1:41" customFormat="1" ht="24" x14ac:dyDescent="0.25">
      <c r="A13" s="2" t="s">
        <v>5</v>
      </c>
      <c r="B13" s="2" t="s">
        <v>6</v>
      </c>
      <c r="C13" s="2" t="s">
        <v>22</v>
      </c>
      <c r="D13" s="2" t="s">
        <v>7</v>
      </c>
      <c r="E13" s="2" t="s">
        <v>8</v>
      </c>
      <c r="F13" s="2" t="s">
        <v>9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</row>
    <row r="14" spans="1:41" customFormat="1" ht="24" x14ac:dyDescent="0.25">
      <c r="A14" s="3" t="s">
        <v>10</v>
      </c>
      <c r="B14" s="418" t="s">
        <v>11</v>
      </c>
      <c r="C14" s="418" t="s">
        <v>12</v>
      </c>
      <c r="D14" s="418" t="s">
        <v>13</v>
      </c>
      <c r="E14" s="4" t="s">
        <v>14</v>
      </c>
      <c r="F14" s="5">
        <v>0.35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</row>
    <row r="15" spans="1:41" customFormat="1" ht="24" x14ac:dyDescent="0.25">
      <c r="A15" s="4"/>
      <c r="B15" s="418"/>
      <c r="C15" s="418"/>
      <c r="D15" s="418"/>
      <c r="E15" s="4" t="s">
        <v>15</v>
      </c>
      <c r="F15" s="5">
        <v>0.65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</row>
    <row r="16" spans="1:41" customFormat="1" ht="24" x14ac:dyDescent="0.25">
      <c r="A16" s="4"/>
      <c r="B16" s="418" t="s">
        <v>11</v>
      </c>
      <c r="C16" s="418" t="s">
        <v>16</v>
      </c>
      <c r="D16" s="418" t="s">
        <v>13</v>
      </c>
      <c r="E16" s="4" t="s">
        <v>14</v>
      </c>
      <c r="F16" s="5">
        <v>0.35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</row>
    <row r="17" spans="1:41" customFormat="1" ht="24" x14ac:dyDescent="0.25">
      <c r="A17" s="4"/>
      <c r="B17" s="418"/>
      <c r="C17" s="418"/>
      <c r="D17" s="418"/>
      <c r="E17" s="4" t="s">
        <v>15</v>
      </c>
      <c r="F17" s="5">
        <v>0.65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</row>
    <row r="18" spans="1:41" customFormat="1" ht="24" x14ac:dyDescent="0.25">
      <c r="A18" s="4"/>
      <c r="B18" s="418" t="s">
        <v>11</v>
      </c>
      <c r="C18" s="418"/>
      <c r="D18" s="418" t="s">
        <v>17</v>
      </c>
      <c r="E18" s="4" t="s">
        <v>14</v>
      </c>
      <c r="F18" s="5">
        <v>0.35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</row>
    <row r="19" spans="1:41" customFormat="1" ht="24" x14ac:dyDescent="0.25">
      <c r="A19" s="4"/>
      <c r="B19" s="418"/>
      <c r="C19" s="418"/>
      <c r="D19" s="418"/>
      <c r="E19" s="4" t="s">
        <v>15</v>
      </c>
      <c r="F19" s="5">
        <v>0.65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</row>
    <row r="20" spans="1:41" customFormat="1" x14ac:dyDescent="0.25">
      <c r="A20" s="6" t="s">
        <v>18</v>
      </c>
      <c r="B20" s="7" t="s">
        <v>11</v>
      </c>
      <c r="C20" s="8">
        <v>10000</v>
      </c>
      <c r="D20" s="7" t="s">
        <v>17</v>
      </c>
      <c r="E20" s="7" t="s">
        <v>23</v>
      </c>
      <c r="F20" s="9">
        <v>1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</row>
    <row r="21" spans="1:41" customFormat="1" x14ac:dyDescent="0.25">
      <c r="A21" s="3" t="s">
        <v>10</v>
      </c>
      <c r="B21" s="4" t="s">
        <v>19</v>
      </c>
      <c r="C21" s="4"/>
      <c r="D21" s="4" t="s">
        <v>17</v>
      </c>
      <c r="E21" s="4"/>
      <c r="F21" s="5">
        <v>0.45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</row>
    <row r="22" spans="1:41" customFormat="1" x14ac:dyDescent="0.25">
      <c r="A22" s="4"/>
      <c r="B22" s="4"/>
      <c r="C22" s="4"/>
      <c r="D22" s="4"/>
      <c r="E22" s="4"/>
      <c r="F22" s="5">
        <v>0.55000000000000004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</row>
    <row r="23" spans="1:41" customFormat="1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</row>
    <row r="24" spans="1:41" customFormat="1" ht="36" x14ac:dyDescent="0.25">
      <c r="A24" s="2" t="s">
        <v>27</v>
      </c>
      <c r="B24" s="2" t="s">
        <v>25</v>
      </c>
      <c r="C24" s="2" t="s">
        <v>40</v>
      </c>
      <c r="D24" s="416" t="s">
        <v>26</v>
      </c>
      <c r="E24" s="416"/>
      <c r="F24" s="10" t="s">
        <v>32</v>
      </c>
      <c r="G24" s="10" t="s">
        <v>33</v>
      </c>
      <c r="H24" s="10" t="s">
        <v>41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</row>
    <row r="25" spans="1:41" x14ac:dyDescent="0.25">
      <c r="A25" s="446" t="s">
        <v>28</v>
      </c>
      <c r="B25" s="447" t="s">
        <v>30</v>
      </c>
      <c r="C25" s="423">
        <v>6500</v>
      </c>
      <c r="D25" s="14" t="s">
        <v>34</v>
      </c>
      <c r="E25" s="15">
        <v>1050000</v>
      </c>
      <c r="F25" s="445">
        <v>15000</v>
      </c>
      <c r="G25" s="445">
        <v>3750</v>
      </c>
      <c r="H25" s="445">
        <v>35050</v>
      </c>
    </row>
    <row r="26" spans="1:41" x14ac:dyDescent="0.25">
      <c r="A26" s="446"/>
      <c r="B26" s="447"/>
      <c r="C26" s="423"/>
      <c r="D26" s="16" t="s">
        <v>35</v>
      </c>
      <c r="E26" s="17">
        <v>870000</v>
      </c>
      <c r="F26" s="445"/>
      <c r="G26" s="445"/>
      <c r="H26" s="445"/>
    </row>
    <row r="27" spans="1:41" x14ac:dyDescent="0.25">
      <c r="A27" s="446"/>
      <c r="B27" s="447"/>
      <c r="C27" s="423"/>
      <c r="D27" s="16" t="s">
        <v>38</v>
      </c>
      <c r="E27" s="17">
        <v>550000</v>
      </c>
      <c r="F27" s="445"/>
      <c r="G27" s="445"/>
      <c r="H27" s="445"/>
    </row>
    <row r="28" spans="1:41" ht="15.75" thickBot="1" x14ac:dyDescent="0.3">
      <c r="A28" s="446"/>
      <c r="B28" s="447"/>
      <c r="C28" s="423"/>
      <c r="D28" s="18" t="s">
        <v>36</v>
      </c>
      <c r="E28" s="19">
        <v>30000</v>
      </c>
      <c r="F28" s="445"/>
      <c r="G28" s="445"/>
      <c r="H28" s="445"/>
    </row>
    <row r="29" spans="1:41" ht="15.75" thickTop="1" x14ac:dyDescent="0.25">
      <c r="A29" s="446"/>
      <c r="B29" s="447"/>
      <c r="C29" s="423"/>
      <c r="D29" s="20" t="s">
        <v>37</v>
      </c>
      <c r="E29" s="21">
        <f>+SUM(E25:E28)</f>
        <v>2500000</v>
      </c>
      <c r="F29" s="445"/>
      <c r="G29" s="445"/>
      <c r="H29" s="445"/>
    </row>
    <row r="30" spans="1:41" ht="9" customHeight="1" x14ac:dyDescent="0.25">
      <c r="A30" s="13"/>
      <c r="B30" s="13"/>
      <c r="C30" s="12"/>
      <c r="D30" s="12"/>
      <c r="E30" s="12"/>
      <c r="F30" s="43"/>
      <c r="G30" s="43"/>
      <c r="H30" s="43"/>
    </row>
    <row r="31" spans="1:41" x14ac:dyDescent="0.25">
      <c r="A31" s="446" t="s">
        <v>29</v>
      </c>
      <c r="B31" s="447" t="s">
        <v>31</v>
      </c>
      <c r="C31" s="423">
        <v>5000</v>
      </c>
      <c r="D31" s="14" t="s">
        <v>34</v>
      </c>
      <c r="E31" s="15">
        <f>+E25*0.7</f>
        <v>735000</v>
      </c>
      <c r="F31" s="445">
        <v>10500</v>
      </c>
      <c r="G31" s="445">
        <v>2550</v>
      </c>
      <c r="H31" s="445">
        <v>28950</v>
      </c>
    </row>
    <row r="32" spans="1:41" x14ac:dyDescent="0.25">
      <c r="A32" s="446"/>
      <c r="B32" s="447"/>
      <c r="C32" s="423"/>
      <c r="D32" s="16" t="s">
        <v>35</v>
      </c>
      <c r="E32" s="17">
        <v>600000</v>
      </c>
      <c r="F32" s="445"/>
      <c r="G32" s="445"/>
      <c r="H32" s="445"/>
    </row>
    <row r="33" spans="1:8" x14ac:dyDescent="0.25">
      <c r="A33" s="446"/>
      <c r="B33" s="447"/>
      <c r="C33" s="423"/>
      <c r="D33" s="16" t="s">
        <v>39</v>
      </c>
      <c r="E33" s="17">
        <v>330000</v>
      </c>
      <c r="F33" s="445"/>
      <c r="G33" s="445"/>
      <c r="H33" s="445"/>
    </row>
    <row r="34" spans="1:8" ht="15.75" thickBot="1" x14ac:dyDescent="0.3">
      <c r="A34" s="446"/>
      <c r="B34" s="447"/>
      <c r="C34" s="423"/>
      <c r="D34" s="18" t="s">
        <v>36</v>
      </c>
      <c r="E34" s="19">
        <f>+E28</f>
        <v>30000</v>
      </c>
      <c r="F34" s="445"/>
      <c r="G34" s="445"/>
      <c r="H34" s="445"/>
    </row>
    <row r="35" spans="1:8" ht="15.75" thickTop="1" x14ac:dyDescent="0.25">
      <c r="A35" s="446"/>
      <c r="B35" s="447"/>
      <c r="C35" s="423"/>
      <c r="D35" s="20" t="s">
        <v>37</v>
      </c>
      <c r="E35" s="21">
        <f>+SUM(E31:E34)</f>
        <v>1695000</v>
      </c>
      <c r="F35" s="445"/>
      <c r="G35" s="445"/>
      <c r="H35" s="445"/>
    </row>
    <row r="38" spans="1:8" ht="24" customHeight="1" x14ac:dyDescent="0.25">
      <c r="A38" s="13"/>
      <c r="B38" s="13"/>
      <c r="C38" s="416" t="s">
        <v>44</v>
      </c>
      <c r="D38" s="416" t="s">
        <v>47</v>
      </c>
      <c r="E38" s="416"/>
    </row>
    <row r="39" spans="1:8" x14ac:dyDescent="0.25">
      <c r="A39" s="12"/>
      <c r="B39" s="13"/>
      <c r="C39" s="416"/>
      <c r="D39" s="22" t="s">
        <v>45</v>
      </c>
      <c r="E39" s="22" t="s">
        <v>46</v>
      </c>
    </row>
    <row r="40" spans="1:8" x14ac:dyDescent="0.25">
      <c r="A40" s="417" t="s">
        <v>42</v>
      </c>
      <c r="B40" s="417"/>
      <c r="C40" s="423">
        <v>6650</v>
      </c>
      <c r="D40" s="424">
        <v>0.3</v>
      </c>
      <c r="E40" s="424">
        <f>100%-D40</f>
        <v>0.7</v>
      </c>
    </row>
    <row r="41" spans="1:8" x14ac:dyDescent="0.25">
      <c r="A41" s="417"/>
      <c r="B41" s="417"/>
      <c r="C41" s="423"/>
      <c r="D41" s="424"/>
      <c r="E41" s="424"/>
    </row>
    <row r="42" spans="1:8" ht="2.25" customHeight="1" x14ac:dyDescent="0.25">
      <c r="A42" s="13"/>
      <c r="B42" s="13"/>
      <c r="C42" s="12"/>
      <c r="D42" s="12"/>
      <c r="E42" s="12"/>
    </row>
    <row r="43" spans="1:8" x14ac:dyDescent="0.25">
      <c r="A43" s="417" t="s">
        <v>43</v>
      </c>
      <c r="B43" s="417"/>
      <c r="C43" s="423">
        <v>10250</v>
      </c>
      <c r="D43" s="424">
        <v>0.8</v>
      </c>
      <c r="E43" s="424">
        <f>100%-D43</f>
        <v>0.19999999999999996</v>
      </c>
    </row>
    <row r="44" spans="1:8" x14ac:dyDescent="0.25">
      <c r="A44" s="417"/>
      <c r="B44" s="417"/>
      <c r="C44" s="423"/>
      <c r="D44" s="424"/>
      <c r="E44" s="424"/>
    </row>
    <row r="47" spans="1:8" x14ac:dyDescent="0.25">
      <c r="A47" s="13"/>
      <c r="B47" s="13"/>
      <c r="C47" s="416" t="s">
        <v>64</v>
      </c>
      <c r="D47" s="416" t="s">
        <v>68</v>
      </c>
      <c r="E47" s="416" t="s">
        <v>96</v>
      </c>
      <c r="F47" s="416" t="s">
        <v>67</v>
      </c>
    </row>
    <row r="48" spans="1:8" ht="15" customHeight="1" x14ac:dyDescent="0.25">
      <c r="A48" s="12"/>
      <c r="B48" s="13"/>
      <c r="C48" s="416"/>
      <c r="D48" s="416"/>
      <c r="E48" s="425"/>
      <c r="F48" s="416"/>
    </row>
    <row r="49" spans="1:17" ht="31.5" customHeight="1" x14ac:dyDescent="0.25">
      <c r="A49" s="417" t="s">
        <v>63</v>
      </c>
      <c r="B49" s="417"/>
      <c r="C49" s="44">
        <v>3500</v>
      </c>
      <c r="D49" s="45">
        <v>8</v>
      </c>
      <c r="E49" s="23" t="s">
        <v>66</v>
      </c>
      <c r="F49" s="44">
        <v>1500</v>
      </c>
    </row>
    <row r="50" spans="1:17" ht="3.75" customHeight="1" x14ac:dyDescent="0.25">
      <c r="A50" s="46"/>
      <c r="B50" s="46"/>
      <c r="C50" s="12"/>
      <c r="D50" s="12"/>
      <c r="E50" s="12"/>
    </row>
    <row r="51" spans="1:17" ht="30" customHeight="1" x14ac:dyDescent="0.25">
      <c r="A51" s="417" t="s">
        <v>69</v>
      </c>
      <c r="B51" s="417"/>
      <c r="C51" s="44">
        <v>1850</v>
      </c>
      <c r="D51" s="26">
        <v>14.5</v>
      </c>
      <c r="E51" s="44">
        <f>+D51*30</f>
        <v>435</v>
      </c>
      <c r="F51" s="23" t="s">
        <v>66</v>
      </c>
    </row>
    <row r="52" spans="1:17" ht="12.75" customHeight="1" x14ac:dyDescent="0.25">
      <c r="A52" s="24"/>
      <c r="B52" s="24"/>
    </row>
    <row r="53" spans="1:17" ht="26.25" customHeight="1" x14ac:dyDescent="0.25">
      <c r="A53" s="25" t="s">
        <v>50</v>
      </c>
      <c r="B53" s="26">
        <v>8</v>
      </c>
    </row>
    <row r="54" spans="1:17" ht="15" customHeight="1" x14ac:dyDescent="0.25">
      <c r="A54" s="24"/>
      <c r="B54" s="27"/>
      <c r="I54" s="85" t="s">
        <v>107</v>
      </c>
    </row>
    <row r="55" spans="1:17" ht="26.25" customHeight="1" x14ac:dyDescent="0.25">
      <c r="A55" s="25" t="s">
        <v>24</v>
      </c>
      <c r="B55" s="28" t="s">
        <v>52</v>
      </c>
      <c r="I55" s="86">
        <v>3</v>
      </c>
    </row>
    <row r="56" spans="1:17" x14ac:dyDescent="0.25">
      <c r="I56" s="79"/>
    </row>
    <row r="57" spans="1:17" x14ac:dyDescent="0.25">
      <c r="I57" s="79"/>
    </row>
    <row r="58" spans="1:17" ht="42.75" x14ac:dyDescent="0.25">
      <c r="A58" s="77" t="s">
        <v>97</v>
      </c>
      <c r="B58" s="78" t="s">
        <v>55</v>
      </c>
      <c r="C58" s="78" t="s">
        <v>9</v>
      </c>
      <c r="D58" s="77" t="s">
        <v>22</v>
      </c>
      <c r="E58" s="77" t="s">
        <v>105</v>
      </c>
      <c r="F58" s="77" t="s">
        <v>61</v>
      </c>
      <c r="G58" s="77" t="s">
        <v>62</v>
      </c>
      <c r="I58" s="77" t="s">
        <v>106</v>
      </c>
      <c r="J58" s="77" t="s">
        <v>108</v>
      </c>
      <c r="N58" s="77" t="s">
        <v>162</v>
      </c>
      <c r="O58" s="77" t="s">
        <v>114</v>
      </c>
      <c r="P58" s="87" t="s">
        <v>117</v>
      </c>
      <c r="Q58" s="74" t="s">
        <v>118</v>
      </c>
    </row>
    <row r="59" spans="1:17" ht="14.25" customHeight="1" x14ac:dyDescent="0.25">
      <c r="A59" s="421" t="s">
        <v>18</v>
      </c>
      <c r="B59" s="422" t="s">
        <v>98</v>
      </c>
      <c r="C59" s="428">
        <v>1</v>
      </c>
      <c r="D59" s="426">
        <v>35000</v>
      </c>
      <c r="E59" s="441">
        <v>20.5</v>
      </c>
      <c r="F59" s="408">
        <v>10.5</v>
      </c>
      <c r="G59" s="408">
        <v>38</v>
      </c>
      <c r="I59" s="408">
        <f>+E59*$I$55*D59+(G59+F59*2)*D59</f>
        <v>4217500</v>
      </c>
      <c r="J59" s="408">
        <f>+I59/D59</f>
        <v>120.5</v>
      </c>
      <c r="K59" s="1" t="s">
        <v>163</v>
      </c>
      <c r="L59" s="1" t="s">
        <v>165</v>
      </c>
      <c r="M59" s="32">
        <v>0.02</v>
      </c>
      <c r="N59" s="1">
        <f>+M59*$I$59</f>
        <v>84350</v>
      </c>
      <c r="O59" s="408">
        <f>+'Calculo Costos'!N28</f>
        <v>1036000</v>
      </c>
      <c r="P59" s="449">
        <v>0</v>
      </c>
      <c r="Q59" s="75">
        <v>0</v>
      </c>
    </row>
    <row r="60" spans="1:17" ht="14.25" customHeight="1" x14ac:dyDescent="0.25">
      <c r="A60" s="421"/>
      <c r="B60" s="422"/>
      <c r="C60" s="420"/>
      <c r="D60" s="427"/>
      <c r="E60" s="442"/>
      <c r="F60" s="409"/>
      <c r="G60" s="409"/>
      <c r="I60" s="409"/>
      <c r="J60" s="409"/>
      <c r="L60" s="1" t="s">
        <v>166</v>
      </c>
      <c r="M60" s="32">
        <v>0.7</v>
      </c>
      <c r="N60" s="1">
        <f>+M60*$I$59</f>
        <v>2952250</v>
      </c>
      <c r="O60" s="409"/>
      <c r="P60" s="450"/>
      <c r="Q60" s="76"/>
    </row>
    <row r="61" spans="1:17" ht="14.25" customHeight="1" x14ac:dyDescent="0.25">
      <c r="A61" s="82"/>
      <c r="B61" s="80"/>
      <c r="C61" s="102"/>
      <c r="D61" s="81"/>
      <c r="E61" s="83"/>
      <c r="F61" s="84"/>
      <c r="G61" s="84"/>
      <c r="I61" s="84"/>
      <c r="J61" s="84"/>
      <c r="K61" s="1" t="s">
        <v>164</v>
      </c>
      <c r="L61" s="1" t="s">
        <v>165</v>
      </c>
      <c r="M61" s="32">
        <v>0.15</v>
      </c>
      <c r="N61" s="1">
        <f>+M61*$I$59</f>
        <v>632625</v>
      </c>
      <c r="O61" s="84"/>
      <c r="P61" s="103"/>
      <c r="Q61" s="104"/>
    </row>
    <row r="62" spans="1:17" ht="14.25" customHeight="1" x14ac:dyDescent="0.25">
      <c r="A62" s="82"/>
      <c r="B62" s="80"/>
      <c r="C62" s="102"/>
      <c r="D62" s="81"/>
      <c r="E62" s="83"/>
      <c r="F62" s="84"/>
      <c r="G62" s="84"/>
      <c r="I62" s="84"/>
      <c r="J62" s="84"/>
      <c r="L62" s="1" t="s">
        <v>166</v>
      </c>
      <c r="M62" s="32">
        <v>0.8</v>
      </c>
      <c r="N62" s="1">
        <f>+M62*$I$59</f>
        <v>3374000</v>
      </c>
      <c r="O62" s="84"/>
      <c r="P62" s="103"/>
      <c r="Q62" s="104"/>
    </row>
    <row r="63" spans="1:17" ht="14.25" customHeight="1" x14ac:dyDescent="0.25">
      <c r="A63" s="429" t="s">
        <v>10</v>
      </c>
      <c r="B63" s="422" t="s">
        <v>99</v>
      </c>
      <c r="C63" s="428">
        <v>0.65</v>
      </c>
      <c r="D63" s="433">
        <v>35000</v>
      </c>
      <c r="E63" s="441">
        <v>31.8</v>
      </c>
      <c r="F63" s="408">
        <v>11</v>
      </c>
      <c r="G63" s="408">
        <v>39</v>
      </c>
      <c r="I63" s="408">
        <f>+E63*$I$55*D63+(G63+F63*2)*D63</f>
        <v>5474000</v>
      </c>
      <c r="J63" s="408">
        <f>+I63/D63</f>
        <v>156.4</v>
      </c>
      <c r="M63" s="32">
        <v>0.15</v>
      </c>
      <c r="N63" s="1">
        <f>+M63*I63</f>
        <v>821100</v>
      </c>
      <c r="O63" s="408">
        <v>0</v>
      </c>
      <c r="P63" s="449">
        <f>+'Calculo Costos'!R342</f>
        <v>0</v>
      </c>
      <c r="Q63" s="75">
        <f>+'Calculo Costos'!R36</f>
        <v>64750</v>
      </c>
    </row>
    <row r="64" spans="1:17" ht="14.25" customHeight="1" x14ac:dyDescent="0.25">
      <c r="A64" s="430"/>
      <c r="B64" s="432"/>
      <c r="C64" s="440"/>
      <c r="D64" s="434"/>
      <c r="E64" s="443"/>
      <c r="F64" s="435"/>
      <c r="G64" s="435"/>
      <c r="I64" s="409"/>
      <c r="J64" s="409"/>
      <c r="M64" s="32"/>
      <c r="O64" s="409"/>
      <c r="P64" s="450"/>
      <c r="Q64" s="76"/>
    </row>
    <row r="65" spans="1:17" ht="14.25" customHeight="1" x14ac:dyDescent="0.25">
      <c r="A65" s="430"/>
      <c r="B65" s="436" t="s">
        <v>109</v>
      </c>
      <c r="C65" s="419">
        <v>0.35</v>
      </c>
      <c r="D65" s="437">
        <v>35000</v>
      </c>
      <c r="E65" s="444">
        <v>30.050999999999998</v>
      </c>
      <c r="F65" s="439">
        <v>9</v>
      </c>
      <c r="G65" s="448">
        <v>32.5</v>
      </c>
      <c r="I65" s="408">
        <f>+E65*$I$55*D65+(G65+F65*2)*D65</f>
        <v>4922855</v>
      </c>
      <c r="J65" s="408">
        <f>+I65/D65</f>
        <v>140.65299999999999</v>
      </c>
      <c r="M65" s="32">
        <v>0.55000000000000004</v>
      </c>
      <c r="N65" s="1">
        <f>+M65*I65</f>
        <v>2707570.25</v>
      </c>
      <c r="O65" s="408">
        <v>0</v>
      </c>
      <c r="P65" s="449">
        <v>0</v>
      </c>
      <c r="Q65" s="75">
        <v>0</v>
      </c>
    </row>
    <row r="66" spans="1:17" ht="14.25" customHeight="1" x14ac:dyDescent="0.25">
      <c r="A66" s="431"/>
      <c r="B66" s="422"/>
      <c r="C66" s="420"/>
      <c r="D66" s="438"/>
      <c r="E66" s="442"/>
      <c r="F66" s="409"/>
      <c r="G66" s="409"/>
      <c r="I66" s="409"/>
      <c r="J66" s="409"/>
      <c r="M66" s="32"/>
      <c r="O66" s="409"/>
      <c r="P66" s="450"/>
      <c r="Q66" s="76"/>
    </row>
    <row r="67" spans="1:17" x14ac:dyDescent="0.25">
      <c r="A67" s="30"/>
      <c r="B67" s="30"/>
      <c r="C67" s="31"/>
      <c r="M67" s="32"/>
    </row>
    <row r="69" spans="1:17" x14ac:dyDescent="0.25">
      <c r="A69" s="13"/>
      <c r="B69" s="13"/>
      <c r="C69" s="416" t="s">
        <v>64</v>
      </c>
      <c r="D69" s="416" t="s">
        <v>68</v>
      </c>
    </row>
    <row r="70" spans="1:17" x14ac:dyDescent="0.25">
      <c r="A70" s="12"/>
      <c r="B70" s="13"/>
      <c r="C70" s="416"/>
      <c r="D70" s="416"/>
    </row>
    <row r="71" spans="1:17" ht="33" customHeight="1" x14ac:dyDescent="0.25">
      <c r="A71" s="417" t="s">
        <v>70</v>
      </c>
      <c r="B71" s="417"/>
      <c r="C71" s="44">
        <v>1250</v>
      </c>
      <c r="D71" s="26">
        <v>5</v>
      </c>
    </row>
    <row r="72" spans="1:17" ht="7.5" customHeight="1" x14ac:dyDescent="0.25">
      <c r="A72" s="46"/>
      <c r="B72" s="46"/>
      <c r="C72" s="12"/>
      <c r="D72" s="12"/>
    </row>
    <row r="73" spans="1:17" ht="30.75" customHeight="1" x14ac:dyDescent="0.25">
      <c r="A73" s="417" t="s">
        <v>72</v>
      </c>
      <c r="B73" s="417"/>
      <c r="C73" s="44">
        <v>1850</v>
      </c>
      <c r="D73" s="26">
        <v>22.5</v>
      </c>
    </row>
    <row r="74" spans="1:17" ht="7.5" customHeight="1" x14ac:dyDescent="0.25">
      <c r="A74" s="13"/>
      <c r="B74" s="13"/>
      <c r="C74" s="12"/>
      <c r="D74" s="12"/>
    </row>
    <row r="75" spans="1:17" ht="36.75" customHeight="1" x14ac:dyDescent="0.25">
      <c r="A75" s="417" t="s">
        <v>71</v>
      </c>
      <c r="B75" s="417"/>
      <c r="C75" s="44" t="s">
        <v>66</v>
      </c>
      <c r="D75" s="26">
        <v>10</v>
      </c>
    </row>
    <row r="77" spans="1:17" x14ac:dyDescent="0.25">
      <c r="A77" s="415" t="s">
        <v>73</v>
      </c>
      <c r="B77" s="415"/>
    </row>
    <row r="78" spans="1:17" x14ac:dyDescent="0.25">
      <c r="A78" s="14" t="s">
        <v>74</v>
      </c>
      <c r="B78" s="15">
        <v>8050</v>
      </c>
    </row>
    <row r="79" spans="1:17" x14ac:dyDescent="0.25">
      <c r="A79" s="16" t="s">
        <v>49</v>
      </c>
      <c r="B79" s="17">
        <v>2596</v>
      </c>
    </row>
    <row r="80" spans="1:17" x14ac:dyDescent="0.25">
      <c r="A80" s="16" t="s">
        <v>75</v>
      </c>
      <c r="B80" s="17">
        <v>55000</v>
      </c>
    </row>
    <row r="81" spans="1:3" ht="15.75" thickBot="1" x14ac:dyDescent="0.3">
      <c r="A81" s="18" t="s">
        <v>76</v>
      </c>
      <c r="B81" s="19">
        <v>11050</v>
      </c>
    </row>
    <row r="82" spans="1:3" ht="15.75" thickTop="1" x14ac:dyDescent="0.25">
      <c r="A82" s="47" t="s">
        <v>77</v>
      </c>
      <c r="B82" s="48">
        <f>+SUM(B78:B81)</f>
        <v>76696</v>
      </c>
    </row>
    <row r="85" spans="1:3" x14ac:dyDescent="0.25">
      <c r="A85" s="415" t="s">
        <v>82</v>
      </c>
      <c r="B85" s="415"/>
    </row>
    <row r="86" spans="1:3" x14ac:dyDescent="0.25">
      <c r="A86" s="14" t="s">
        <v>78</v>
      </c>
      <c r="B86" s="15">
        <f>35*1000</f>
        <v>35000</v>
      </c>
    </row>
    <row r="87" spans="1:3" ht="15" customHeight="1" x14ac:dyDescent="0.25">
      <c r="A87" s="16" t="s">
        <v>79</v>
      </c>
      <c r="B87" s="17">
        <f>35*200</f>
        <v>7000</v>
      </c>
    </row>
    <row r="88" spans="1:3" ht="15.75" thickBot="1" x14ac:dyDescent="0.3">
      <c r="A88" s="18" t="s">
        <v>80</v>
      </c>
      <c r="B88" s="19">
        <v>25250</v>
      </c>
    </row>
    <row r="89" spans="1:3" ht="15.75" thickTop="1" x14ac:dyDescent="0.25">
      <c r="A89" s="47" t="s">
        <v>77</v>
      </c>
      <c r="B89" s="48">
        <f>+SUM(B86:B88)</f>
        <v>67250</v>
      </c>
    </row>
    <row r="92" spans="1:3" x14ac:dyDescent="0.25">
      <c r="A92" s="13"/>
      <c r="B92" s="13"/>
      <c r="C92" s="416" t="s">
        <v>44</v>
      </c>
    </row>
    <row r="93" spans="1:3" x14ac:dyDescent="0.25">
      <c r="A93" s="12"/>
      <c r="B93" s="13"/>
      <c r="C93" s="416"/>
    </row>
    <row r="94" spans="1:3" ht="33" customHeight="1" x14ac:dyDescent="0.25">
      <c r="A94" s="417" t="s">
        <v>81</v>
      </c>
      <c r="B94" s="417"/>
      <c r="C94" s="44">
        <f>35*250</f>
        <v>8750</v>
      </c>
    </row>
    <row r="95" spans="1:3" ht="7.5" customHeight="1" x14ac:dyDescent="0.25"/>
    <row r="96" spans="1:3" ht="21" customHeight="1" x14ac:dyDescent="0.25">
      <c r="A96" s="417" t="s">
        <v>83</v>
      </c>
      <c r="B96" s="417"/>
      <c r="C96" s="44">
        <v>30750</v>
      </c>
    </row>
  </sheetData>
  <mergeCells count="90">
    <mergeCell ref="O59:O60"/>
    <mergeCell ref="O63:O64"/>
    <mergeCell ref="O65:O66"/>
    <mergeCell ref="P59:P60"/>
    <mergeCell ref="P63:P64"/>
    <mergeCell ref="P65:P66"/>
    <mergeCell ref="G59:G60"/>
    <mergeCell ref="G63:G64"/>
    <mergeCell ref="G65:G66"/>
    <mergeCell ref="I59:I60"/>
    <mergeCell ref="I63:I64"/>
    <mergeCell ref="I65:I66"/>
    <mergeCell ref="D14:D15"/>
    <mergeCell ref="B16:B17"/>
    <mergeCell ref="C16:C17"/>
    <mergeCell ref="D16:D17"/>
    <mergeCell ref="D18:D19"/>
    <mergeCell ref="D24:E24"/>
    <mergeCell ref="A25:A29"/>
    <mergeCell ref="B25:B29"/>
    <mergeCell ref="C25:C29"/>
    <mergeCell ref="F25:F29"/>
    <mergeCell ref="G25:G29"/>
    <mergeCell ref="H25:H29"/>
    <mergeCell ref="A31:A35"/>
    <mergeCell ref="B31:B35"/>
    <mergeCell ref="C31:C35"/>
    <mergeCell ref="F31:F35"/>
    <mergeCell ref="G31:G35"/>
    <mergeCell ref="H31:H35"/>
    <mergeCell ref="D38:E38"/>
    <mergeCell ref="A40:B41"/>
    <mergeCell ref="C40:C41"/>
    <mergeCell ref="D40:D41"/>
    <mergeCell ref="E40:E41"/>
    <mergeCell ref="D59:D60"/>
    <mergeCell ref="F59:F60"/>
    <mergeCell ref="C59:C60"/>
    <mergeCell ref="A63:A66"/>
    <mergeCell ref="B63:B64"/>
    <mergeCell ref="D63:D64"/>
    <mergeCell ref="F63:F64"/>
    <mergeCell ref="B65:B66"/>
    <mergeCell ref="D65:D66"/>
    <mergeCell ref="F65:F66"/>
    <mergeCell ref="C63:C64"/>
    <mergeCell ref="E59:E60"/>
    <mergeCell ref="E63:E64"/>
    <mergeCell ref="E65:E66"/>
    <mergeCell ref="E1:F1"/>
    <mergeCell ref="C69:C70"/>
    <mergeCell ref="D69:D70"/>
    <mergeCell ref="A71:B71"/>
    <mergeCell ref="A73:B73"/>
    <mergeCell ref="F47:F48"/>
    <mergeCell ref="A49:B49"/>
    <mergeCell ref="A51:B51"/>
    <mergeCell ref="A43:B44"/>
    <mergeCell ref="C43:C44"/>
    <mergeCell ref="D43:D44"/>
    <mergeCell ref="E43:E44"/>
    <mergeCell ref="C47:C48"/>
    <mergeCell ref="D47:D48"/>
    <mergeCell ref="E47:E48"/>
    <mergeCell ref="C38:C39"/>
    <mergeCell ref="A85:B85"/>
    <mergeCell ref="C92:C93"/>
    <mergeCell ref="A94:B94"/>
    <mergeCell ref="A96:B96"/>
    <mergeCell ref="B1:C1"/>
    <mergeCell ref="A75:B75"/>
    <mergeCell ref="A77:B77"/>
    <mergeCell ref="B18:B19"/>
    <mergeCell ref="C18:C19"/>
    <mergeCell ref="B14:B15"/>
    <mergeCell ref="C14:C15"/>
    <mergeCell ref="C65:C66"/>
    <mergeCell ref="A59:A60"/>
    <mergeCell ref="B59:B60"/>
    <mergeCell ref="K6:K9"/>
    <mergeCell ref="H12:J12"/>
    <mergeCell ref="H1:I1"/>
    <mergeCell ref="J2:J3"/>
    <mergeCell ref="H2:H4"/>
    <mergeCell ref="K2:K3"/>
    <mergeCell ref="J65:J66"/>
    <mergeCell ref="J63:J64"/>
    <mergeCell ref="J59:J60"/>
    <mergeCell ref="H6:H10"/>
    <mergeCell ref="J6:J9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92"/>
  <sheetViews>
    <sheetView showGridLines="0" workbookViewId="0">
      <selection activeCell="D1" sqref="D1"/>
    </sheetView>
  </sheetViews>
  <sheetFormatPr baseColWidth="10" defaultRowHeight="15" x14ac:dyDescent="0.25"/>
  <cols>
    <col min="1" max="1" width="20.625" customWidth="1"/>
    <col min="2" max="2" width="13.75" customWidth="1"/>
    <col min="3" max="3" width="11.125" style="1" customWidth="1"/>
    <col min="4" max="4" width="10.25" style="1" customWidth="1"/>
    <col min="5" max="5" width="9.625" style="1" customWidth="1"/>
    <col min="6" max="6" width="12.875" style="1" customWidth="1"/>
    <col min="7" max="7" width="12.25" style="1" customWidth="1"/>
    <col min="8" max="8" width="11.625" style="1" bestFit="1" customWidth="1"/>
    <col min="9" max="16384" width="11" style="1"/>
  </cols>
  <sheetData>
    <row r="1" spans="1:41" customFormat="1" x14ac:dyDescent="0.25">
      <c r="A1" s="1">
        <v>1350000</v>
      </c>
    </row>
    <row r="2" spans="1:41" customFormat="1" x14ac:dyDescent="0.25">
      <c r="A2" s="1">
        <f>+A1/12</f>
        <v>112500</v>
      </c>
    </row>
    <row r="3" spans="1:41" customFormat="1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</row>
    <row r="4" spans="1:41" customFormat="1" x14ac:dyDescent="0.25">
      <c r="A4" t="s">
        <v>0</v>
      </c>
      <c r="B4" s="1" t="s">
        <v>1</v>
      </c>
      <c r="C4" s="1">
        <v>180000</v>
      </c>
      <c r="D4" s="1">
        <f>+C4/12</f>
        <v>15000</v>
      </c>
      <c r="E4" s="1">
        <f>+D4*1.5</f>
        <v>22500</v>
      </c>
      <c r="F4" s="1">
        <f>+E4/5</f>
        <v>4500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</row>
    <row r="5" spans="1:41" customFormat="1" x14ac:dyDescent="0.25">
      <c r="B5" s="1" t="s">
        <v>2</v>
      </c>
      <c r="C5" s="1">
        <f>0.2*C4</f>
        <v>36000</v>
      </c>
      <c r="D5" s="1">
        <f>+C5/12</f>
        <v>3000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</row>
    <row r="6" spans="1:41" customFormat="1" x14ac:dyDescent="0.25">
      <c r="B6" s="1" t="s">
        <v>3</v>
      </c>
      <c r="C6" s="1">
        <f>+SUM(C4:C5)</f>
        <v>216000</v>
      </c>
      <c r="D6" s="1">
        <f>+C6/12</f>
        <v>18000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</row>
    <row r="7" spans="1:41" customFormat="1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</row>
    <row r="8" spans="1:41" customFormat="1" x14ac:dyDescent="0.25">
      <c r="B8" s="1" t="s">
        <v>4</v>
      </c>
      <c r="C8" s="1" t="s">
        <v>21</v>
      </c>
      <c r="D8" s="1">
        <f>+D6*2.3</f>
        <v>41400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</row>
    <row r="9" spans="1:41" customFormat="1" x14ac:dyDescent="0.25">
      <c r="B9" s="1"/>
      <c r="C9" s="1"/>
      <c r="D9" s="1"/>
      <c r="E9" s="1" t="s">
        <v>20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</row>
    <row r="10" spans="1:41" customFormat="1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</row>
    <row r="11" spans="1:41" customFormat="1" ht="24" x14ac:dyDescent="0.25">
      <c r="A11" s="2" t="s">
        <v>5</v>
      </c>
      <c r="B11" s="2" t="s">
        <v>6</v>
      </c>
      <c r="C11" s="2" t="s">
        <v>22</v>
      </c>
      <c r="D11" s="2" t="s">
        <v>7</v>
      </c>
      <c r="E11" s="2" t="s">
        <v>8</v>
      </c>
      <c r="F11" s="2" t="s">
        <v>9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</row>
    <row r="12" spans="1:41" customFormat="1" ht="24" x14ac:dyDescent="0.25">
      <c r="A12" s="3" t="s">
        <v>10</v>
      </c>
      <c r="B12" s="418" t="s">
        <v>11</v>
      </c>
      <c r="C12" s="418" t="s">
        <v>12</v>
      </c>
      <c r="D12" s="418" t="s">
        <v>13</v>
      </c>
      <c r="E12" s="4" t="s">
        <v>14</v>
      </c>
      <c r="F12" s="5">
        <v>0.35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</row>
    <row r="13" spans="1:41" customFormat="1" ht="24" x14ac:dyDescent="0.25">
      <c r="A13" s="4"/>
      <c r="B13" s="418"/>
      <c r="C13" s="418"/>
      <c r="D13" s="418"/>
      <c r="E13" s="4" t="s">
        <v>15</v>
      </c>
      <c r="F13" s="5">
        <v>0.65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</row>
    <row r="14" spans="1:41" customFormat="1" ht="24" x14ac:dyDescent="0.25">
      <c r="A14" s="4"/>
      <c r="B14" s="418" t="s">
        <v>11</v>
      </c>
      <c r="C14" s="418" t="s">
        <v>16</v>
      </c>
      <c r="D14" s="418" t="s">
        <v>13</v>
      </c>
      <c r="E14" s="4" t="s">
        <v>14</v>
      </c>
      <c r="F14" s="5">
        <v>0.35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</row>
    <row r="15" spans="1:41" customFormat="1" ht="24" x14ac:dyDescent="0.25">
      <c r="A15" s="4"/>
      <c r="B15" s="418"/>
      <c r="C15" s="418"/>
      <c r="D15" s="418"/>
      <c r="E15" s="4" t="s">
        <v>15</v>
      </c>
      <c r="F15" s="5">
        <v>0.65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</row>
    <row r="16" spans="1:41" customFormat="1" ht="24" x14ac:dyDescent="0.25">
      <c r="A16" s="4"/>
      <c r="B16" s="418" t="s">
        <v>11</v>
      </c>
      <c r="C16" s="418"/>
      <c r="D16" s="418" t="s">
        <v>17</v>
      </c>
      <c r="E16" s="4" t="s">
        <v>14</v>
      </c>
      <c r="F16" s="5">
        <v>0.35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</row>
    <row r="17" spans="1:41" customFormat="1" ht="24" x14ac:dyDescent="0.25">
      <c r="A17" s="4"/>
      <c r="B17" s="418"/>
      <c r="C17" s="418"/>
      <c r="D17" s="418"/>
      <c r="E17" s="4" t="s">
        <v>15</v>
      </c>
      <c r="F17" s="5">
        <v>0.65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</row>
    <row r="18" spans="1:41" customFormat="1" x14ac:dyDescent="0.25">
      <c r="A18" s="6" t="s">
        <v>18</v>
      </c>
      <c r="B18" s="7" t="s">
        <v>11</v>
      </c>
      <c r="C18" s="8">
        <v>10000</v>
      </c>
      <c r="D18" s="7" t="s">
        <v>17</v>
      </c>
      <c r="E18" s="7" t="s">
        <v>23</v>
      </c>
      <c r="F18" s="9">
        <v>1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</row>
    <row r="19" spans="1:41" customFormat="1" x14ac:dyDescent="0.25">
      <c r="A19" s="3" t="s">
        <v>10</v>
      </c>
      <c r="B19" s="4" t="s">
        <v>19</v>
      </c>
      <c r="C19" s="4"/>
      <c r="D19" s="4" t="s">
        <v>17</v>
      </c>
      <c r="E19" s="4"/>
      <c r="F19" s="5">
        <v>0.45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</row>
    <row r="20" spans="1:41" customFormat="1" x14ac:dyDescent="0.25">
      <c r="A20" s="4"/>
      <c r="B20" s="4"/>
      <c r="C20" s="4"/>
      <c r="D20" s="4"/>
      <c r="E20" s="4"/>
      <c r="F20" s="5">
        <v>0.55000000000000004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</row>
    <row r="21" spans="1:41" customForma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</row>
    <row r="22" spans="1:41" customFormat="1" ht="36" x14ac:dyDescent="0.25">
      <c r="A22" s="2" t="s">
        <v>27</v>
      </c>
      <c r="B22" s="2" t="s">
        <v>25</v>
      </c>
      <c r="C22" s="2" t="s">
        <v>40</v>
      </c>
      <c r="D22" s="416" t="s">
        <v>26</v>
      </c>
      <c r="E22" s="416"/>
      <c r="F22" s="10" t="s">
        <v>32</v>
      </c>
      <c r="G22" s="10" t="s">
        <v>33</v>
      </c>
      <c r="H22" s="10" t="s">
        <v>41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</row>
    <row r="23" spans="1:41" x14ac:dyDescent="0.25">
      <c r="A23" s="446" t="s">
        <v>28</v>
      </c>
      <c r="B23" s="447" t="s">
        <v>30</v>
      </c>
      <c r="C23" s="423">
        <v>6500</v>
      </c>
      <c r="D23" s="14" t="s">
        <v>34</v>
      </c>
      <c r="E23" s="15">
        <v>1050000</v>
      </c>
      <c r="F23" s="445">
        <v>15000</v>
      </c>
      <c r="G23" s="445">
        <v>3750</v>
      </c>
      <c r="H23" s="445">
        <v>35050</v>
      </c>
    </row>
    <row r="24" spans="1:41" x14ac:dyDescent="0.25">
      <c r="A24" s="446"/>
      <c r="B24" s="447"/>
      <c r="C24" s="423"/>
      <c r="D24" s="16" t="s">
        <v>35</v>
      </c>
      <c r="E24" s="17">
        <v>870000</v>
      </c>
      <c r="F24" s="445"/>
      <c r="G24" s="445"/>
      <c r="H24" s="445"/>
    </row>
    <row r="25" spans="1:41" x14ac:dyDescent="0.25">
      <c r="A25" s="446"/>
      <c r="B25" s="447"/>
      <c r="C25" s="423"/>
      <c r="D25" s="16" t="s">
        <v>38</v>
      </c>
      <c r="E25" s="17">
        <v>550000</v>
      </c>
      <c r="F25" s="445"/>
      <c r="G25" s="445"/>
      <c r="H25" s="445"/>
    </row>
    <row r="26" spans="1:41" ht="15.75" thickBot="1" x14ac:dyDescent="0.3">
      <c r="A26" s="446"/>
      <c r="B26" s="447"/>
      <c r="C26" s="423"/>
      <c r="D26" s="18" t="s">
        <v>36</v>
      </c>
      <c r="E26" s="19">
        <v>30000</v>
      </c>
      <c r="F26" s="445"/>
      <c r="G26" s="445"/>
      <c r="H26" s="445"/>
    </row>
    <row r="27" spans="1:41" ht="15.75" thickTop="1" x14ac:dyDescent="0.25">
      <c r="A27" s="446"/>
      <c r="B27" s="447"/>
      <c r="C27" s="423"/>
      <c r="D27" s="20" t="s">
        <v>37</v>
      </c>
      <c r="E27" s="21">
        <f>+SUM(E23:E26)</f>
        <v>2500000</v>
      </c>
      <c r="F27" s="445"/>
      <c r="G27" s="445"/>
      <c r="H27" s="445"/>
    </row>
    <row r="28" spans="1:41" ht="9" customHeight="1" x14ac:dyDescent="0.25">
      <c r="A28" s="13"/>
      <c r="B28" s="13"/>
      <c r="C28" s="12"/>
      <c r="D28" s="12"/>
      <c r="E28" s="12"/>
      <c r="F28" s="43"/>
      <c r="G28" s="43"/>
      <c r="H28" s="43"/>
    </row>
    <row r="29" spans="1:41" x14ac:dyDescent="0.25">
      <c r="A29" s="446" t="s">
        <v>29</v>
      </c>
      <c r="B29" s="447" t="s">
        <v>31</v>
      </c>
      <c r="C29" s="423">
        <v>5000</v>
      </c>
      <c r="D29" s="14" t="s">
        <v>34</v>
      </c>
      <c r="E29" s="15">
        <f>+E23*0.7</f>
        <v>735000</v>
      </c>
      <c r="F29" s="445">
        <v>10500</v>
      </c>
      <c r="G29" s="445">
        <v>2550</v>
      </c>
      <c r="H29" s="445">
        <v>28950</v>
      </c>
    </row>
    <row r="30" spans="1:41" x14ac:dyDescent="0.25">
      <c r="A30" s="446"/>
      <c r="B30" s="447"/>
      <c r="C30" s="423"/>
      <c r="D30" s="16" t="s">
        <v>35</v>
      </c>
      <c r="E30" s="17">
        <v>600000</v>
      </c>
      <c r="F30" s="445"/>
      <c r="G30" s="445"/>
      <c r="H30" s="445"/>
    </row>
    <row r="31" spans="1:41" x14ac:dyDescent="0.25">
      <c r="A31" s="446"/>
      <c r="B31" s="447"/>
      <c r="C31" s="423"/>
      <c r="D31" s="16" t="s">
        <v>39</v>
      </c>
      <c r="E31" s="17">
        <v>330000</v>
      </c>
      <c r="F31" s="445"/>
      <c r="G31" s="445"/>
      <c r="H31" s="445"/>
    </row>
    <row r="32" spans="1:41" ht="15.75" thickBot="1" x14ac:dyDescent="0.3">
      <c r="A32" s="446"/>
      <c r="B32" s="447"/>
      <c r="C32" s="423"/>
      <c r="D32" s="18" t="s">
        <v>36</v>
      </c>
      <c r="E32" s="19">
        <f>+E26</f>
        <v>30000</v>
      </c>
      <c r="F32" s="445"/>
      <c r="G32" s="445"/>
      <c r="H32" s="445"/>
    </row>
    <row r="33" spans="1:8" ht="15.75" thickTop="1" x14ac:dyDescent="0.25">
      <c r="A33" s="446"/>
      <c r="B33" s="447"/>
      <c r="C33" s="423"/>
      <c r="D33" s="20" t="s">
        <v>37</v>
      </c>
      <c r="E33" s="21">
        <f>+SUM(E29:E32)</f>
        <v>1695000</v>
      </c>
      <c r="F33" s="445"/>
      <c r="G33" s="445"/>
      <c r="H33" s="445"/>
    </row>
    <row r="36" spans="1:8" ht="24" customHeight="1" x14ac:dyDescent="0.25">
      <c r="A36" s="13"/>
      <c r="B36" s="13"/>
      <c r="C36" s="416" t="s">
        <v>44</v>
      </c>
      <c r="D36" s="416" t="s">
        <v>47</v>
      </c>
      <c r="E36" s="416"/>
    </row>
    <row r="37" spans="1:8" x14ac:dyDescent="0.25">
      <c r="A37" s="12"/>
      <c r="B37" s="13"/>
      <c r="C37" s="416"/>
      <c r="D37" s="22" t="s">
        <v>45</v>
      </c>
      <c r="E37" s="22" t="s">
        <v>46</v>
      </c>
    </row>
    <row r="38" spans="1:8" x14ac:dyDescent="0.25">
      <c r="A38" s="417" t="s">
        <v>42</v>
      </c>
      <c r="B38" s="417"/>
      <c r="C38" s="423">
        <v>6650</v>
      </c>
      <c r="D38" s="424">
        <v>0.3</v>
      </c>
      <c r="E38" s="424">
        <f>100%-D38</f>
        <v>0.7</v>
      </c>
    </row>
    <row r="39" spans="1:8" x14ac:dyDescent="0.25">
      <c r="A39" s="417"/>
      <c r="B39" s="417"/>
      <c r="C39" s="423"/>
      <c r="D39" s="424"/>
      <c r="E39" s="424"/>
    </row>
    <row r="40" spans="1:8" ht="2.25" customHeight="1" x14ac:dyDescent="0.25">
      <c r="A40" s="13"/>
      <c r="B40" s="13"/>
      <c r="C40" s="12"/>
      <c r="D40" s="12"/>
      <c r="E40" s="12"/>
    </row>
    <row r="41" spans="1:8" x14ac:dyDescent="0.25">
      <c r="A41" s="417" t="s">
        <v>43</v>
      </c>
      <c r="B41" s="417"/>
      <c r="C41" s="423">
        <v>10250</v>
      </c>
      <c r="D41" s="424">
        <v>0.8</v>
      </c>
      <c r="E41" s="424">
        <f>100%-D41</f>
        <v>0.19999999999999996</v>
      </c>
    </row>
    <row r="42" spans="1:8" x14ac:dyDescent="0.25">
      <c r="A42" s="417"/>
      <c r="B42" s="417"/>
      <c r="C42" s="423"/>
      <c r="D42" s="424"/>
      <c r="E42" s="424"/>
    </row>
    <row r="45" spans="1:8" x14ac:dyDescent="0.25">
      <c r="A45" s="13"/>
      <c r="B45" s="13"/>
      <c r="C45" s="416" t="s">
        <v>64</v>
      </c>
      <c r="D45" s="416" t="s">
        <v>68</v>
      </c>
      <c r="E45" s="416" t="s">
        <v>65</v>
      </c>
      <c r="F45" s="416" t="s">
        <v>67</v>
      </c>
    </row>
    <row r="46" spans="1:8" ht="15" customHeight="1" x14ac:dyDescent="0.25">
      <c r="A46" s="12"/>
      <c r="B46" s="13"/>
      <c r="C46" s="416"/>
      <c r="D46" s="416"/>
      <c r="E46" s="425"/>
      <c r="F46" s="416"/>
    </row>
    <row r="47" spans="1:8" ht="31.5" customHeight="1" x14ac:dyDescent="0.25">
      <c r="A47" s="417" t="s">
        <v>63</v>
      </c>
      <c r="B47" s="417"/>
      <c r="C47" s="44">
        <v>3500</v>
      </c>
      <c r="D47" s="45">
        <v>8</v>
      </c>
      <c r="E47" s="23" t="s">
        <v>66</v>
      </c>
      <c r="F47" s="44">
        <v>1500</v>
      </c>
    </row>
    <row r="48" spans="1:8" ht="3.75" customHeight="1" x14ac:dyDescent="0.25">
      <c r="A48" s="46"/>
      <c r="B48" s="46"/>
      <c r="C48" s="12"/>
      <c r="D48" s="12"/>
      <c r="E48" s="12"/>
    </row>
    <row r="49" spans="1:7" ht="30" customHeight="1" x14ac:dyDescent="0.25">
      <c r="A49" s="417" t="s">
        <v>69</v>
      </c>
      <c r="B49" s="417"/>
      <c r="C49" s="44">
        <v>1850</v>
      </c>
      <c r="D49" s="26">
        <v>14.5</v>
      </c>
      <c r="E49" s="44">
        <f>+D49*30</f>
        <v>435</v>
      </c>
      <c r="F49" s="23" t="s">
        <v>66</v>
      </c>
    </row>
    <row r="50" spans="1:7" ht="12.75" customHeight="1" x14ac:dyDescent="0.25">
      <c r="A50" s="24"/>
      <c r="B50" s="24"/>
    </row>
    <row r="51" spans="1:7" ht="26.25" customHeight="1" x14ac:dyDescent="0.25">
      <c r="A51" s="25" t="s">
        <v>50</v>
      </c>
      <c r="B51" s="26">
        <v>8</v>
      </c>
    </row>
    <row r="52" spans="1:7" ht="15" customHeight="1" x14ac:dyDescent="0.25">
      <c r="A52" s="24"/>
      <c r="B52" s="27"/>
    </row>
    <row r="53" spans="1:7" ht="26.25" customHeight="1" x14ac:dyDescent="0.25">
      <c r="A53" s="25" t="s">
        <v>24</v>
      </c>
      <c r="B53" s="28" t="s">
        <v>52</v>
      </c>
    </row>
    <row r="56" spans="1:7" ht="42.75" x14ac:dyDescent="0.25">
      <c r="A56" s="29" t="s">
        <v>54</v>
      </c>
      <c r="B56" s="29" t="s">
        <v>6</v>
      </c>
      <c r="C56" s="34" t="s">
        <v>55</v>
      </c>
      <c r="D56" s="34" t="s">
        <v>9</v>
      </c>
      <c r="E56" s="29" t="s">
        <v>22</v>
      </c>
      <c r="F56" s="29" t="s">
        <v>61</v>
      </c>
      <c r="G56" s="29" t="s">
        <v>62</v>
      </c>
    </row>
    <row r="57" spans="1:7" ht="28.5" x14ac:dyDescent="0.25">
      <c r="A57" s="447" t="s">
        <v>13</v>
      </c>
      <c r="B57" s="452" t="s">
        <v>53</v>
      </c>
      <c r="C57" s="35" t="s">
        <v>56</v>
      </c>
      <c r="D57" s="38">
        <v>0.35</v>
      </c>
      <c r="E57" s="454">
        <v>4500</v>
      </c>
      <c r="F57" s="460">
        <v>8</v>
      </c>
      <c r="G57" s="460">
        <v>25</v>
      </c>
    </row>
    <row r="58" spans="1:7" ht="28.5" x14ac:dyDescent="0.25">
      <c r="A58" s="447"/>
      <c r="B58" s="452"/>
      <c r="C58" s="36" t="s">
        <v>57</v>
      </c>
      <c r="D58" s="39">
        <f>100%-D57</f>
        <v>0.65</v>
      </c>
      <c r="E58" s="454"/>
      <c r="F58" s="461"/>
      <c r="G58" s="461"/>
    </row>
    <row r="59" spans="1:7" ht="28.5" x14ac:dyDescent="0.25">
      <c r="A59" s="456" t="s">
        <v>17</v>
      </c>
      <c r="B59" s="452" t="s">
        <v>53</v>
      </c>
      <c r="C59" s="35" t="s">
        <v>58</v>
      </c>
      <c r="D59" s="38">
        <v>0.48</v>
      </c>
      <c r="E59" s="454">
        <v>22500</v>
      </c>
      <c r="F59" s="460">
        <v>12</v>
      </c>
      <c r="G59" s="460">
        <v>40</v>
      </c>
    </row>
    <row r="60" spans="1:7" ht="28.5" x14ac:dyDescent="0.25">
      <c r="A60" s="457"/>
      <c r="B60" s="453"/>
      <c r="C60" s="41" t="s">
        <v>59</v>
      </c>
      <c r="D60" s="42">
        <f>100%-D59</f>
        <v>0.52</v>
      </c>
      <c r="E60" s="455"/>
      <c r="F60" s="462"/>
      <c r="G60" s="462"/>
    </row>
    <row r="61" spans="1:7" ht="28.5" x14ac:dyDescent="0.25">
      <c r="A61" s="457"/>
      <c r="B61" s="451" t="s">
        <v>19</v>
      </c>
      <c r="C61" s="37" t="s">
        <v>14</v>
      </c>
      <c r="D61" s="40">
        <v>0.75</v>
      </c>
      <c r="E61" s="459">
        <v>19000</v>
      </c>
      <c r="F61" s="463">
        <v>10</v>
      </c>
      <c r="G61" s="463">
        <v>35</v>
      </c>
    </row>
    <row r="62" spans="1:7" ht="28.5" x14ac:dyDescent="0.25">
      <c r="A62" s="458"/>
      <c r="B62" s="452"/>
      <c r="C62" s="36" t="s">
        <v>60</v>
      </c>
      <c r="D62" s="39">
        <f>100%-D61</f>
        <v>0.25</v>
      </c>
      <c r="E62" s="454"/>
      <c r="F62" s="461"/>
      <c r="G62" s="461"/>
    </row>
    <row r="63" spans="1:7" x14ac:dyDescent="0.25">
      <c r="A63" s="30"/>
      <c r="B63" s="30"/>
      <c r="C63" s="31"/>
    </row>
    <row r="65" spans="1:4" x14ac:dyDescent="0.25">
      <c r="A65" s="13"/>
      <c r="B65" s="13"/>
      <c r="C65" s="416" t="s">
        <v>64</v>
      </c>
      <c r="D65" s="416" t="s">
        <v>68</v>
      </c>
    </row>
    <row r="66" spans="1:4" x14ac:dyDescent="0.25">
      <c r="A66" s="12"/>
      <c r="B66" s="13"/>
      <c r="C66" s="416"/>
      <c r="D66" s="416"/>
    </row>
    <row r="67" spans="1:4" ht="33" customHeight="1" x14ac:dyDescent="0.25">
      <c r="A67" s="417" t="s">
        <v>70</v>
      </c>
      <c r="B67" s="417"/>
      <c r="C67" s="44">
        <v>1250</v>
      </c>
      <c r="D67" s="26">
        <v>5</v>
      </c>
    </row>
    <row r="68" spans="1:4" ht="7.5" customHeight="1" x14ac:dyDescent="0.25">
      <c r="A68" s="46"/>
      <c r="B68" s="46"/>
      <c r="C68" s="12"/>
      <c r="D68" s="12"/>
    </row>
    <row r="69" spans="1:4" ht="30.75" customHeight="1" x14ac:dyDescent="0.25">
      <c r="A69" s="417" t="s">
        <v>72</v>
      </c>
      <c r="B69" s="417"/>
      <c r="C69" s="44">
        <v>1850</v>
      </c>
      <c r="D69" s="26">
        <v>22.5</v>
      </c>
    </row>
    <row r="70" spans="1:4" ht="7.5" customHeight="1" x14ac:dyDescent="0.25">
      <c r="A70" s="13"/>
      <c r="B70" s="13"/>
      <c r="C70" s="12"/>
      <c r="D70" s="12"/>
    </row>
    <row r="71" spans="1:4" ht="36.75" customHeight="1" x14ac:dyDescent="0.25">
      <c r="A71" s="417" t="s">
        <v>71</v>
      </c>
      <c r="B71" s="417"/>
      <c r="C71" s="44" t="s">
        <v>66</v>
      </c>
      <c r="D71" s="26">
        <v>10</v>
      </c>
    </row>
    <row r="73" spans="1:4" x14ac:dyDescent="0.25">
      <c r="A73" s="415" t="s">
        <v>73</v>
      </c>
      <c r="B73" s="415"/>
    </row>
    <row r="74" spans="1:4" x14ac:dyDescent="0.25">
      <c r="A74" s="14" t="s">
        <v>74</v>
      </c>
      <c r="B74" s="15">
        <v>8050</v>
      </c>
    </row>
    <row r="75" spans="1:4" x14ac:dyDescent="0.25">
      <c r="A75" s="16" t="s">
        <v>49</v>
      </c>
      <c r="B75" s="17">
        <v>2596</v>
      </c>
    </row>
    <row r="76" spans="1:4" x14ac:dyDescent="0.25">
      <c r="A76" s="16" t="s">
        <v>75</v>
      </c>
      <c r="B76" s="17">
        <v>55000</v>
      </c>
    </row>
    <row r="77" spans="1:4" ht="15.75" thickBot="1" x14ac:dyDescent="0.3">
      <c r="A77" s="18" t="s">
        <v>76</v>
      </c>
      <c r="B77" s="19">
        <v>11050</v>
      </c>
    </row>
    <row r="78" spans="1:4" ht="15.75" thickTop="1" x14ac:dyDescent="0.25">
      <c r="A78" s="47" t="s">
        <v>77</v>
      </c>
      <c r="B78" s="48">
        <f>+SUM(B74:B77)</f>
        <v>76696</v>
      </c>
    </row>
    <row r="81" spans="1:3" x14ac:dyDescent="0.25">
      <c r="A81" s="415" t="s">
        <v>82</v>
      </c>
      <c r="B81" s="415"/>
    </row>
    <row r="82" spans="1:3" x14ac:dyDescent="0.25">
      <c r="A82" s="14" t="s">
        <v>78</v>
      </c>
      <c r="B82" s="15">
        <f>35*1000</f>
        <v>35000</v>
      </c>
    </row>
    <row r="83" spans="1:3" ht="15" customHeight="1" x14ac:dyDescent="0.25">
      <c r="A83" s="16" t="s">
        <v>79</v>
      </c>
      <c r="B83" s="17">
        <f>35*200</f>
        <v>7000</v>
      </c>
    </row>
    <row r="84" spans="1:3" ht="15.75" thickBot="1" x14ac:dyDescent="0.3">
      <c r="A84" s="18" t="s">
        <v>80</v>
      </c>
      <c r="B84" s="19">
        <v>25250</v>
      </c>
    </row>
    <row r="85" spans="1:3" ht="15.75" thickTop="1" x14ac:dyDescent="0.25">
      <c r="A85" s="47" t="s">
        <v>77</v>
      </c>
      <c r="B85" s="48">
        <f>+SUM(B82:B84)</f>
        <v>67250</v>
      </c>
    </row>
    <row r="88" spans="1:3" x14ac:dyDescent="0.25">
      <c r="A88" s="13"/>
      <c r="B88" s="13"/>
      <c r="C88" s="416" t="s">
        <v>44</v>
      </c>
    </row>
    <row r="89" spans="1:3" x14ac:dyDescent="0.25">
      <c r="A89" s="12"/>
      <c r="B89" s="13"/>
      <c r="C89" s="416"/>
    </row>
    <row r="90" spans="1:3" ht="33" customHeight="1" x14ac:dyDescent="0.25">
      <c r="A90" s="417" t="s">
        <v>81</v>
      </c>
      <c r="B90" s="417"/>
      <c r="C90" s="44">
        <f>35*250</f>
        <v>8750</v>
      </c>
    </row>
    <row r="91" spans="1:3" ht="7.5" customHeight="1" x14ac:dyDescent="0.25"/>
    <row r="92" spans="1:3" ht="21" customHeight="1" x14ac:dyDescent="0.25">
      <c r="A92" s="417" t="s">
        <v>83</v>
      </c>
      <c r="B92" s="417"/>
      <c r="C92" s="44">
        <v>30750</v>
      </c>
    </row>
  </sheetData>
  <mergeCells count="62">
    <mergeCell ref="B16:B17"/>
    <mergeCell ref="C16:C17"/>
    <mergeCell ref="D16:D17"/>
    <mergeCell ref="B12:B13"/>
    <mergeCell ref="C12:C13"/>
    <mergeCell ref="D12:D13"/>
    <mergeCell ref="B14:B15"/>
    <mergeCell ref="C14:C15"/>
    <mergeCell ref="D14:D15"/>
    <mergeCell ref="D22:E22"/>
    <mergeCell ref="A23:A27"/>
    <mergeCell ref="B23:B27"/>
    <mergeCell ref="C23:C27"/>
    <mergeCell ref="F23:F27"/>
    <mergeCell ref="C36:C37"/>
    <mergeCell ref="G23:G27"/>
    <mergeCell ref="H23:H27"/>
    <mergeCell ref="C29:C33"/>
    <mergeCell ref="A29:A33"/>
    <mergeCell ref="B29:B33"/>
    <mergeCell ref="F29:F33"/>
    <mergeCell ref="G29:G33"/>
    <mergeCell ref="H29:H33"/>
    <mergeCell ref="D36:E36"/>
    <mergeCell ref="E38:E39"/>
    <mergeCell ref="D41:D42"/>
    <mergeCell ref="E41:E42"/>
    <mergeCell ref="A47:B47"/>
    <mergeCell ref="D45:D46"/>
    <mergeCell ref="E45:E46"/>
    <mergeCell ref="A38:B39"/>
    <mergeCell ref="A41:B42"/>
    <mergeCell ref="C38:C39"/>
    <mergeCell ref="C41:C42"/>
    <mergeCell ref="D38:D39"/>
    <mergeCell ref="G57:G58"/>
    <mergeCell ref="F59:F60"/>
    <mergeCell ref="G59:G60"/>
    <mergeCell ref="F61:F62"/>
    <mergeCell ref="G61:G62"/>
    <mergeCell ref="F57:F58"/>
    <mergeCell ref="F45:F46"/>
    <mergeCell ref="C65:C66"/>
    <mergeCell ref="D65:D66"/>
    <mergeCell ref="C45:C46"/>
    <mergeCell ref="A81:B81"/>
    <mergeCell ref="B61:B62"/>
    <mergeCell ref="B59:B60"/>
    <mergeCell ref="E57:E58"/>
    <mergeCell ref="E59:E60"/>
    <mergeCell ref="A59:A62"/>
    <mergeCell ref="E61:E62"/>
    <mergeCell ref="B57:B58"/>
    <mergeCell ref="A57:A58"/>
    <mergeCell ref="A49:B49"/>
    <mergeCell ref="C88:C89"/>
    <mergeCell ref="A90:B90"/>
    <mergeCell ref="A92:B92"/>
    <mergeCell ref="A67:B67"/>
    <mergeCell ref="A69:B69"/>
    <mergeCell ref="A71:B71"/>
    <mergeCell ref="A73:B7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17</vt:i4>
      </vt:variant>
    </vt:vector>
  </HeadingPairs>
  <TitlesOfParts>
    <vt:vector size="40" baseType="lpstr">
      <vt:lpstr>Apendice 1</vt:lpstr>
      <vt:lpstr>Apendice 2</vt:lpstr>
      <vt:lpstr>Apendice 3</vt:lpstr>
      <vt:lpstr>Apendice 4 (a)</vt:lpstr>
      <vt:lpstr>Apendice 4 (b)</vt:lpstr>
      <vt:lpstr>Arbolito 2</vt:lpstr>
      <vt:lpstr>Anexo 1 (2)</vt:lpstr>
      <vt:lpstr>Anexo 1</vt:lpstr>
      <vt:lpstr>Anexo 2</vt:lpstr>
      <vt:lpstr>Anexo 3</vt:lpstr>
      <vt:lpstr>Anexo 4</vt:lpstr>
      <vt:lpstr>Anexo 5</vt:lpstr>
      <vt:lpstr>Anexo 7</vt:lpstr>
      <vt:lpstr>Anexo 8</vt:lpstr>
      <vt:lpstr>Calculo Costos</vt:lpstr>
      <vt:lpstr>Arbolito 1</vt:lpstr>
      <vt:lpstr>Análisis</vt:lpstr>
      <vt:lpstr>Costo Importar</vt:lpstr>
      <vt:lpstr>Costos China</vt:lpstr>
      <vt:lpstr>Costos Brasil</vt:lpstr>
      <vt:lpstr>Criterios de evaluación</vt:lpstr>
      <vt:lpstr>Plan de acción</vt:lpstr>
      <vt:lpstr>Hoja1</vt:lpstr>
      <vt:lpstr>'Apendice 1'!TreeData</vt:lpstr>
      <vt:lpstr>'Apendice 2'!TreeData</vt:lpstr>
      <vt:lpstr>'Apendice 3'!TreeData</vt:lpstr>
      <vt:lpstr>'Apendice 4 (a)'!TreeData</vt:lpstr>
      <vt:lpstr>'Apendice 4 (b)'!TreeData</vt:lpstr>
      <vt:lpstr>'Arbolito 2'!TreeData</vt:lpstr>
      <vt:lpstr>'Apendice 1'!TreeDiagBase</vt:lpstr>
      <vt:lpstr>'Apendice 2'!TreeDiagBase</vt:lpstr>
      <vt:lpstr>'Apendice 3'!TreeDiagBase</vt:lpstr>
      <vt:lpstr>'Apendice 4 (a)'!TreeDiagBase</vt:lpstr>
      <vt:lpstr>'Arbolito 2'!TreeDiagBase</vt:lpstr>
      <vt:lpstr>'Apendice 1'!TreeDiagram</vt:lpstr>
      <vt:lpstr>'Apendice 2'!TreeDiagram</vt:lpstr>
      <vt:lpstr>'Apendice 3'!TreeDiagram</vt:lpstr>
      <vt:lpstr>'Apendice 4 (a)'!TreeDiagram</vt:lpstr>
      <vt:lpstr>'Apendice 4 (b)'!TreeDiagram</vt:lpstr>
      <vt:lpstr>'Arbolito 2'!TreeDiagram</vt:lpstr>
    </vt:vector>
  </TitlesOfParts>
  <Company>Luffi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arimac</dc:creator>
  <cp:lastModifiedBy>profesor</cp:lastModifiedBy>
  <dcterms:created xsi:type="dcterms:W3CDTF">2015-07-28T03:23:27Z</dcterms:created>
  <dcterms:modified xsi:type="dcterms:W3CDTF">2015-11-30T15:15:30Z</dcterms:modified>
</cp:coreProperties>
</file>